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defaultThemeVersion="166925"/>
  <mc:AlternateContent xmlns:mc="http://schemas.openxmlformats.org/markup-compatibility/2006">
    <mc:Choice Requires="x15">
      <x15ac:absPath xmlns:x15ac="http://schemas.microsoft.com/office/spreadsheetml/2010/11/ac" url="/Users/trangtrang/Desktop/PTG/"/>
    </mc:Choice>
  </mc:AlternateContent>
  <xr:revisionPtr revIDLastSave="0" documentId="13_ncr:1_{FAA3A339-1831-994D-8A5E-EAC44A0FEA87}" xr6:coauthVersionLast="47" xr6:coauthVersionMax="47" xr10:uidLastSave="{00000000-0000-0000-0000-000000000000}"/>
  <bookViews>
    <workbookView xWindow="0" yWindow="920" windowWidth="27180" windowHeight="16640" activeTab="3" xr2:uid="{00000000-000D-0000-FFFF-FFFF00000000}"/>
  </bookViews>
  <sheets>
    <sheet name="TTTĐ" sheetId="2" r:id="rId1"/>
    <sheet name="VAY" sheetId="8" r:id="rId2"/>
    <sheet name="VAY 24T" sheetId="10" r:id="rId3"/>
    <sheet name="TTS" sheetId="9" r:id="rId4"/>
    <sheet name="Quỹ giãn xây" sheetId="5" state="hidden" r:id="rId5"/>
    <sheet name="Sheet1" sheetId="7" r:id="rId6"/>
    <sheet name="Check" sheetId="6"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9" l="1"/>
  <c r="K64" i="7"/>
  <c r="K58" i="7"/>
  <c r="K56" i="7"/>
  <c r="C56" i="7"/>
  <c r="H56" i="7"/>
  <c r="I56" i="7"/>
  <c r="K63" i="7"/>
  <c r="H58" i="7"/>
  <c r="E58" i="7"/>
  <c r="H57" i="7"/>
  <c r="E54" i="7"/>
  <c r="E49" i="7"/>
  <c r="E47" i="7"/>
  <c r="G20" i="2"/>
  <c r="G20" i="9" s="1"/>
  <c r="C63" i="10"/>
  <c r="G60" i="10"/>
  <c r="E56" i="10"/>
  <c r="C54" i="10"/>
  <c r="H50" i="10"/>
  <c r="Q44" i="10"/>
  <c r="C44" i="10"/>
  <c r="Q43" i="10"/>
  <c r="Q42" i="10"/>
  <c r="Q41" i="10"/>
  <c r="R40" i="10"/>
  <c r="T40" i="10" s="1"/>
  <c r="F38" i="10"/>
  <c r="F60" i="10" s="1"/>
  <c r="F62" i="10" s="1"/>
  <c r="G18" i="10"/>
  <c r="C4" i="10"/>
  <c r="G10" i="10" s="1"/>
  <c r="Q74" i="9"/>
  <c r="Q75" i="9" s="1"/>
  <c r="F61" i="9" s="1"/>
  <c r="F38" i="8"/>
  <c r="F43" i="8" s="1"/>
  <c r="M43" i="8" s="1"/>
  <c r="F38" i="2"/>
  <c r="F60" i="2" s="1"/>
  <c r="H49" i="7"/>
  <c r="I49" i="7"/>
  <c r="E50" i="7"/>
  <c r="H50" i="7"/>
  <c r="I50" i="7"/>
  <c r="E51" i="7"/>
  <c r="H51" i="7"/>
  <c r="I51" i="7"/>
  <c r="E52" i="7"/>
  <c r="H52" i="7"/>
  <c r="I52" i="7"/>
  <c r="E53" i="7"/>
  <c r="H53" i="7"/>
  <c r="I53" i="7"/>
  <c r="H54" i="7"/>
  <c r="I54" i="7"/>
  <c r="E55" i="7"/>
  <c r="H55" i="7"/>
  <c r="I55" i="7"/>
  <c r="E57" i="7"/>
  <c r="I57" i="7"/>
  <c r="I58" i="7"/>
  <c r="E59" i="7"/>
  <c r="H59" i="7"/>
  <c r="I59" i="7"/>
  <c r="E60" i="7"/>
  <c r="H60" i="7"/>
  <c r="I60" i="7"/>
  <c r="E61" i="7"/>
  <c r="C5" i="2" s="1"/>
  <c r="H61" i="7"/>
  <c r="I61" i="7"/>
  <c r="E62" i="7"/>
  <c r="H62" i="7"/>
  <c r="I62" i="7"/>
  <c r="E63" i="7"/>
  <c r="H63" i="7"/>
  <c r="I63" i="7"/>
  <c r="E64" i="7"/>
  <c r="H64" i="7"/>
  <c r="I64" i="7"/>
  <c r="E65" i="7"/>
  <c r="H65" i="7"/>
  <c r="I65" i="7"/>
  <c r="E66" i="7"/>
  <c r="H66" i="7"/>
  <c r="I66" i="7"/>
  <c r="E67" i="7"/>
  <c r="H67" i="7"/>
  <c r="I67" i="7"/>
  <c r="E68" i="7"/>
  <c r="H68" i="7"/>
  <c r="I68" i="7"/>
  <c r="E69" i="7"/>
  <c r="H69" i="7"/>
  <c r="I69" i="7"/>
  <c r="E70" i="7"/>
  <c r="H70" i="7"/>
  <c r="I70" i="7"/>
  <c r="E71" i="7"/>
  <c r="H71" i="7"/>
  <c r="I71" i="7"/>
  <c r="E72" i="7"/>
  <c r="H72" i="7"/>
  <c r="I72" i="7"/>
  <c r="E73" i="7"/>
  <c r="H73" i="7"/>
  <c r="I73" i="7"/>
  <c r="E74" i="7"/>
  <c r="H74" i="7"/>
  <c r="I74" i="7"/>
  <c r="E75" i="7"/>
  <c r="H75" i="7"/>
  <c r="I75" i="7"/>
  <c r="E76" i="7"/>
  <c r="H76" i="7"/>
  <c r="I76" i="7"/>
  <c r="E77" i="7"/>
  <c r="H77" i="7"/>
  <c r="I77" i="7"/>
  <c r="E78" i="7"/>
  <c r="H78" i="7"/>
  <c r="I78" i="7"/>
  <c r="E79" i="7"/>
  <c r="H79" i="7"/>
  <c r="I79" i="7"/>
  <c r="E80" i="7"/>
  <c r="H80" i="7"/>
  <c r="I80" i="7"/>
  <c r="E43" i="7"/>
  <c r="E44" i="7"/>
  <c r="E45" i="7"/>
  <c r="E46" i="7"/>
  <c r="E48" i="7"/>
  <c r="H43" i="7"/>
  <c r="I43" i="7"/>
  <c r="H44" i="7"/>
  <c r="I44" i="7"/>
  <c r="H45" i="7"/>
  <c r="I45" i="7"/>
  <c r="H46" i="7"/>
  <c r="I46" i="7"/>
  <c r="H47" i="7"/>
  <c r="I47" i="7"/>
  <c r="H48" i="7"/>
  <c r="I48" i="7"/>
  <c r="C4" i="9"/>
  <c r="G9" i="9" s="1"/>
  <c r="C4" i="8"/>
  <c r="F44" i="8" s="1"/>
  <c r="F63" i="8" s="1"/>
  <c r="E42" i="7"/>
  <c r="E41" i="7"/>
  <c r="C63" i="9"/>
  <c r="E56" i="9"/>
  <c r="C54" i="9"/>
  <c r="G50" i="9"/>
  <c r="H50" i="9" s="1"/>
  <c r="Q67" i="9"/>
  <c r="N80" i="9"/>
  <c r="Q66" i="9"/>
  <c r="Q65" i="9"/>
  <c r="Q64" i="9"/>
  <c r="R63" i="9"/>
  <c r="G18" i="9"/>
  <c r="C63" i="8"/>
  <c r="G60" i="8"/>
  <c r="E56" i="8"/>
  <c r="C54" i="8"/>
  <c r="Q44" i="8"/>
  <c r="C44" i="8"/>
  <c r="Q43" i="8"/>
  <c r="Q42" i="8"/>
  <c r="Q41" i="8"/>
  <c r="R40" i="8"/>
  <c r="G18" i="8"/>
  <c r="E36" i="7"/>
  <c r="F38" i="5"/>
  <c r="H36" i="7"/>
  <c r="I36" i="7"/>
  <c r="H37" i="7"/>
  <c r="I37" i="7"/>
  <c r="H38" i="7"/>
  <c r="I38" i="7"/>
  <c r="H39" i="7"/>
  <c r="I39" i="7"/>
  <c r="H40" i="7"/>
  <c r="I40" i="7"/>
  <c r="H41" i="7"/>
  <c r="I41" i="7"/>
  <c r="H42" i="7"/>
  <c r="I42" i="7"/>
  <c r="C35" i="7"/>
  <c r="C31" i="7"/>
  <c r="F44" i="2"/>
  <c r="E26" i="7"/>
  <c r="H26" i="7"/>
  <c r="I26" i="7"/>
  <c r="H27" i="7"/>
  <c r="I27" i="7"/>
  <c r="H28" i="7"/>
  <c r="I28" i="7"/>
  <c r="H29" i="7"/>
  <c r="I29" i="7"/>
  <c r="H30" i="7"/>
  <c r="I30" i="7"/>
  <c r="H31" i="7"/>
  <c r="I31" i="7"/>
  <c r="H32" i="7"/>
  <c r="I32" i="7"/>
  <c r="H33" i="7"/>
  <c r="I33" i="7"/>
  <c r="H34" i="7"/>
  <c r="I34" i="7"/>
  <c r="H35" i="7"/>
  <c r="I35" i="7"/>
  <c r="E28" i="7"/>
  <c r="E29" i="7"/>
  <c r="E30" i="7"/>
  <c r="E32" i="7"/>
  <c r="E33" i="7"/>
  <c r="E34" i="7"/>
  <c r="E27" i="7"/>
  <c r="Q79" i="9" l="1"/>
  <c r="Q78" i="9"/>
  <c r="G20" i="8"/>
  <c r="G20" i="10"/>
  <c r="F44" i="10"/>
  <c r="F54" i="10" s="1"/>
  <c r="C5" i="10"/>
  <c r="G27" i="10"/>
  <c r="G8" i="10"/>
  <c r="F40" i="10"/>
  <c r="N41" i="10" s="1"/>
  <c r="N42" i="10" s="1"/>
  <c r="N43" i="10" s="1"/>
  <c r="N44" i="10" s="1"/>
  <c r="G9" i="10"/>
  <c r="S40" i="10"/>
  <c r="F50" i="10"/>
  <c r="F39" i="10"/>
  <c r="F41" i="10"/>
  <c r="M41" i="10" s="1"/>
  <c r="F42" i="10"/>
  <c r="M42" i="10" s="1"/>
  <c r="F43" i="10"/>
  <c r="M43" i="10" s="1"/>
  <c r="F41" i="8"/>
  <c r="M41" i="8" s="1"/>
  <c r="G9" i="8"/>
  <c r="F60" i="8"/>
  <c r="F62" i="8" s="1"/>
  <c r="F60" i="9"/>
  <c r="F62" i="9" s="1"/>
  <c r="Q77" i="9"/>
  <c r="Q76" i="9"/>
  <c r="N64" i="9" s="1"/>
  <c r="F39" i="8"/>
  <c r="F61" i="8" s="1"/>
  <c r="F50" i="9"/>
  <c r="F52" i="9" s="1"/>
  <c r="F42" i="8"/>
  <c r="M42" i="8" s="1"/>
  <c r="F50" i="8"/>
  <c r="F53" i="8" s="1"/>
  <c r="F40" i="8"/>
  <c r="N41" i="8" s="1"/>
  <c r="N42" i="8" s="1"/>
  <c r="N43" i="8" s="1"/>
  <c r="N44" i="8" s="1"/>
  <c r="C5" i="8"/>
  <c r="G27" i="8"/>
  <c r="G33" i="8" s="1"/>
  <c r="G63" i="8" s="1"/>
  <c r="Q80" i="9"/>
  <c r="F54" i="9" s="1"/>
  <c r="G27" i="9"/>
  <c r="G33" i="9" s="1"/>
  <c r="G63" i="9" s="1"/>
  <c r="G8" i="8"/>
  <c r="G10" i="8"/>
  <c r="C5" i="9"/>
  <c r="G8" i="9"/>
  <c r="G10" i="9"/>
  <c r="F54" i="8"/>
  <c r="M44" i="8"/>
  <c r="F51" i="9"/>
  <c r="T63" i="9"/>
  <c r="S63" i="9"/>
  <c r="T40" i="8"/>
  <c r="H50" i="8"/>
  <c r="S40" i="8"/>
  <c r="F39" i="2"/>
  <c r="F61" i="2" s="1"/>
  <c r="F50" i="2"/>
  <c r="F40" i="2"/>
  <c r="N41" i="2" s="1"/>
  <c r="G21" i="10" l="1"/>
  <c r="G21" i="8"/>
  <c r="G24" i="9"/>
  <c r="G25" i="9" s="1"/>
  <c r="G26" i="9" s="1"/>
  <c r="R80" i="9" s="1"/>
  <c r="P67" i="9" s="1"/>
  <c r="G24" i="8"/>
  <c r="G25" i="8" s="1"/>
  <c r="G26" i="8" s="1"/>
  <c r="G53" i="8" s="1"/>
  <c r="I53" i="8" s="1"/>
  <c r="I56" i="8" s="1"/>
  <c r="N65" i="9"/>
  <c r="F63" i="10"/>
  <c r="M44" i="10"/>
  <c r="O44" i="10" s="1"/>
  <c r="F53" i="10"/>
  <c r="K37" i="10"/>
  <c r="F52" i="10"/>
  <c r="O43" i="10"/>
  <c r="G33" i="10"/>
  <c r="G63" i="10" s="1"/>
  <c r="G54" i="10"/>
  <c r="H54" i="10" s="1"/>
  <c r="G24" i="10"/>
  <c r="O42" i="10"/>
  <c r="O41" i="10"/>
  <c r="F51" i="10"/>
  <c r="F61" i="10"/>
  <c r="F53" i="9"/>
  <c r="F51" i="8"/>
  <c r="F52" i="8"/>
  <c r="O41" i="8"/>
  <c r="K60" i="9"/>
  <c r="O43" i="8"/>
  <c r="K37" i="8"/>
  <c r="O42" i="8"/>
  <c r="O44" i="8"/>
  <c r="G54" i="8"/>
  <c r="H54" i="8" s="1"/>
  <c r="F63" i="9"/>
  <c r="G54" i="9"/>
  <c r="H54" i="9" s="1"/>
  <c r="F39" i="5"/>
  <c r="M44" i="5"/>
  <c r="G32" i="5"/>
  <c r="G26" i="5"/>
  <c r="G9" i="5"/>
  <c r="G8" i="5"/>
  <c r="C5" i="5"/>
  <c r="I25" i="7"/>
  <c r="H25" i="7"/>
  <c r="N66" i="9" l="1"/>
  <c r="G25" i="10"/>
  <c r="G26" i="10" s="1"/>
  <c r="G53" i="9"/>
  <c r="I53" i="9" s="1"/>
  <c r="I56" i="9" s="1"/>
  <c r="G28" i="8"/>
  <c r="R79" i="9"/>
  <c r="P66" i="9" s="1"/>
  <c r="G42" i="8"/>
  <c r="P42" i="8" s="1"/>
  <c r="R42" i="8" s="1"/>
  <c r="S42" i="8" s="1"/>
  <c r="R77" i="9"/>
  <c r="P64" i="9" s="1"/>
  <c r="G39" i="8"/>
  <c r="G44" i="8"/>
  <c r="P44" i="8" s="1"/>
  <c r="R44" i="8" s="1"/>
  <c r="S44" i="8" s="1"/>
  <c r="G52" i="8"/>
  <c r="H52" i="8" s="1"/>
  <c r="G40" i="8"/>
  <c r="G51" i="8"/>
  <c r="G43" i="8"/>
  <c r="P43" i="8" s="1"/>
  <c r="R43" i="8" s="1"/>
  <c r="S43" i="8" s="1"/>
  <c r="G41" i="8"/>
  <c r="P41" i="8" s="1"/>
  <c r="R41" i="8" s="1"/>
  <c r="T41" i="8" s="1"/>
  <c r="G51" i="9"/>
  <c r="H51" i="9" s="1"/>
  <c r="R76" i="9"/>
  <c r="G28" i="9"/>
  <c r="R78" i="9"/>
  <c r="P65" i="9" s="1"/>
  <c r="R65" i="9" s="1"/>
  <c r="S65" i="9" s="1"/>
  <c r="G52" i="9"/>
  <c r="H52" i="9" s="1"/>
  <c r="R75" i="9"/>
  <c r="N42" i="2"/>
  <c r="N43" i="2" s="1"/>
  <c r="N44" i="2" s="1"/>
  <c r="G27" i="2"/>
  <c r="G33" i="2" s="1"/>
  <c r="G10" i="2"/>
  <c r="G9" i="2"/>
  <c r="H3" i="7"/>
  <c r="I3" i="7" s="1"/>
  <c r="H4" i="7"/>
  <c r="I4" i="7" s="1"/>
  <c r="H5" i="7"/>
  <c r="I5" i="7" s="1"/>
  <c r="H6" i="7"/>
  <c r="I6" i="7" s="1"/>
  <c r="H7" i="7"/>
  <c r="I7" i="7" s="1"/>
  <c r="H8" i="7"/>
  <c r="I8" i="7" s="1"/>
  <c r="H9" i="7"/>
  <c r="I9" i="7" s="1"/>
  <c r="H10" i="7"/>
  <c r="I10" i="7" s="1"/>
  <c r="H11" i="7"/>
  <c r="I11" i="7" s="1"/>
  <c r="H12" i="7"/>
  <c r="I12" i="7" s="1"/>
  <c r="H13" i="7"/>
  <c r="I13" i="7" s="1"/>
  <c r="H14" i="7"/>
  <c r="I14" i="7" s="1"/>
  <c r="H15" i="7"/>
  <c r="I15" i="7" s="1"/>
  <c r="H16" i="7"/>
  <c r="I16" i="7" s="1"/>
  <c r="H17" i="7"/>
  <c r="I17" i="7" s="1"/>
  <c r="H18" i="7"/>
  <c r="I18" i="7" s="1"/>
  <c r="H19" i="7"/>
  <c r="I19" i="7" s="1"/>
  <c r="H20" i="7"/>
  <c r="I20" i="7" s="1"/>
  <c r="H21" i="7"/>
  <c r="I21" i="7" s="1"/>
  <c r="H22" i="7"/>
  <c r="I22" i="7" s="1"/>
  <c r="H23" i="7"/>
  <c r="I23" i="7" s="1"/>
  <c r="H24" i="7"/>
  <c r="I24" i="7" s="1"/>
  <c r="H2" i="7"/>
  <c r="I2" i="7" s="1"/>
  <c r="R64" i="9" l="1"/>
  <c r="S64" i="9" s="1"/>
  <c r="N67" i="9"/>
  <c r="R66" i="9"/>
  <c r="G28" i="10"/>
  <c r="G52" i="10"/>
  <c r="H52" i="10" s="1"/>
  <c r="G39" i="10"/>
  <c r="G43" i="10"/>
  <c r="P43" i="10" s="1"/>
  <c r="G42" i="10"/>
  <c r="P42" i="10" s="1"/>
  <c r="G41" i="10"/>
  <c r="P41" i="10" s="1"/>
  <c r="G53" i="10"/>
  <c r="I53" i="10" s="1"/>
  <c r="I56" i="10" s="1"/>
  <c r="G40" i="10"/>
  <c r="G44" i="10"/>
  <c r="P44" i="10" s="1"/>
  <c r="G51" i="10"/>
  <c r="G56" i="8"/>
  <c r="J56" i="8" s="1"/>
  <c r="G46" i="8"/>
  <c r="H46" i="8" s="1"/>
  <c r="P45" i="8"/>
  <c r="H51" i="8"/>
  <c r="H56" i="8" s="1"/>
  <c r="I57" i="8" s="1"/>
  <c r="P68" i="9"/>
  <c r="R82" i="9"/>
  <c r="H46" i="9" s="1"/>
  <c r="G56" i="9"/>
  <c r="J56" i="9" s="1"/>
  <c r="H56" i="9"/>
  <c r="I57" i="9" s="1"/>
  <c r="T44" i="8"/>
  <c r="T65" i="9"/>
  <c r="T43" i="8"/>
  <c r="T42" i="8"/>
  <c r="S41" i="8"/>
  <c r="S45" i="8" s="1"/>
  <c r="G29" i="8" s="1"/>
  <c r="G31" i="8" s="1"/>
  <c r="R45" i="8"/>
  <c r="G8" i="2"/>
  <c r="G21" i="2" s="1"/>
  <c r="M43" i="5"/>
  <c r="M42" i="5"/>
  <c r="M41" i="5"/>
  <c r="M40" i="5"/>
  <c r="R67" i="9" l="1"/>
  <c r="T64" i="9"/>
  <c r="S66" i="9"/>
  <c r="T66" i="9"/>
  <c r="G46" i="10"/>
  <c r="H46" i="10" s="1"/>
  <c r="R42" i="10"/>
  <c r="S42" i="10" s="1"/>
  <c r="R43" i="10"/>
  <c r="S43" i="10" s="1"/>
  <c r="H51" i="10"/>
  <c r="H56" i="10" s="1"/>
  <c r="I57" i="10" s="1"/>
  <c r="G56" i="10"/>
  <c r="J56" i="10" s="1"/>
  <c r="R44" i="10"/>
  <c r="S44" i="10" s="1"/>
  <c r="R41" i="10"/>
  <c r="P45" i="10"/>
  <c r="J57" i="8"/>
  <c r="J57" i="9"/>
  <c r="T45" i="8"/>
  <c r="G32" i="8"/>
  <c r="G30" i="8" s="1"/>
  <c r="G17" i="5"/>
  <c r="F50" i="5"/>
  <c r="F49" i="5"/>
  <c r="F48" i="5"/>
  <c r="F47" i="5"/>
  <c r="F46" i="5"/>
  <c r="F45" i="5"/>
  <c r="S67" i="9" l="1"/>
  <c r="T67" i="9"/>
  <c r="T68" i="9" s="1"/>
  <c r="R68" i="9"/>
  <c r="S68" i="9"/>
  <c r="J57" i="10"/>
  <c r="T42" i="10"/>
  <c r="R45" i="10"/>
  <c r="S41" i="10"/>
  <c r="S45" i="10" s="1"/>
  <c r="G29" i="10" s="1"/>
  <c r="G31" i="10" s="1"/>
  <c r="T44" i="10"/>
  <c r="T43" i="10"/>
  <c r="T41" i="10"/>
  <c r="G61" i="8"/>
  <c r="G62" i="8"/>
  <c r="F44" i="5"/>
  <c r="F43" i="5"/>
  <c r="F42" i="5"/>
  <c r="F41" i="5"/>
  <c r="F40" i="5"/>
  <c r="G29" i="9" l="1"/>
  <c r="G31" i="9" s="1"/>
  <c r="T45" i="10"/>
  <c r="G32" i="10"/>
  <c r="G61" i="10" s="1"/>
  <c r="G65" i="8"/>
  <c r="J65" i="8" s="1"/>
  <c r="C63" i="2"/>
  <c r="F43" i="2"/>
  <c r="F42" i="2"/>
  <c r="F41" i="2"/>
  <c r="G54" i="2"/>
  <c r="C54" i="2"/>
  <c r="C44" i="2"/>
  <c r="G32" i="9" l="1"/>
  <c r="G30" i="9" s="1"/>
  <c r="G30" i="10"/>
  <c r="G62" i="10"/>
  <c r="G65" i="10" s="1"/>
  <c r="P44" i="5"/>
  <c r="K44" i="5"/>
  <c r="L44" i="5"/>
  <c r="N44" i="5" s="1"/>
  <c r="G18" i="2"/>
  <c r="G24" i="2"/>
  <c r="G62" i="9" l="1"/>
  <c r="G61" i="9"/>
  <c r="G65" i="9" s="1"/>
  <c r="J65" i="10"/>
  <c r="G25" i="2"/>
  <c r="G26" i="2" s="1"/>
  <c r="G44" i="2" s="1"/>
  <c r="K43" i="5" l="1"/>
  <c r="K42" i="5"/>
  <c r="K41" i="5"/>
  <c r="K40" i="5"/>
  <c r="K39" i="5"/>
  <c r="G71" i="5"/>
  <c r="F72" i="5"/>
  <c r="F71" i="5"/>
  <c r="F73" i="5" s="1"/>
  <c r="P41" i="5"/>
  <c r="P42" i="5"/>
  <c r="P43" i="5"/>
  <c r="P40" i="5"/>
  <c r="F56" i="5"/>
  <c r="G56" i="5"/>
  <c r="G30" i="5"/>
  <c r="F80" i="5" l="1"/>
  <c r="F77" i="5"/>
  <c r="F75" i="5"/>
  <c r="F78" i="5"/>
  <c r="F74" i="5"/>
  <c r="F76" i="5"/>
  <c r="F64" i="5"/>
  <c r="F60" i="5"/>
  <c r="F63" i="5"/>
  <c r="F62" i="5"/>
  <c r="F61" i="5"/>
  <c r="F65" i="5"/>
  <c r="F58" i="5"/>
  <c r="F59" i="5"/>
  <c r="G31" i="5"/>
  <c r="G29" i="5" s="1"/>
  <c r="F79" i="5"/>
  <c r="F57" i="5"/>
  <c r="L40" i="5"/>
  <c r="N40" i="5" s="1"/>
  <c r="L41" i="5"/>
  <c r="N41" i="5" s="1"/>
  <c r="L43" i="5"/>
  <c r="N43" i="5" s="1"/>
  <c r="L42" i="5"/>
  <c r="N42" i="5" s="1"/>
  <c r="G19" i="5"/>
  <c r="I60" i="5" l="1"/>
  <c r="H80" i="5"/>
  <c r="I64" i="5"/>
  <c r="H78" i="5"/>
  <c r="H79" i="5"/>
  <c r="I65" i="5"/>
  <c r="I62" i="5"/>
  <c r="H76" i="5"/>
  <c r="I61" i="5"/>
  <c r="H75" i="5"/>
  <c r="I63" i="5"/>
  <c r="H77" i="5"/>
  <c r="H50" i="5"/>
  <c r="H74" i="5"/>
  <c r="H45" i="5"/>
  <c r="H47" i="5"/>
  <c r="H46" i="5"/>
  <c r="H49" i="5"/>
  <c r="H48" i="5"/>
  <c r="G20" i="5"/>
  <c r="I66" i="5" l="1"/>
  <c r="I67" i="5" s="1"/>
  <c r="H51" i="5"/>
  <c r="H52" i="5" s="1"/>
  <c r="G52" i="2"/>
  <c r="H52" i="2" s="1"/>
  <c r="G53" i="2"/>
  <c r="I53" i="2" s="1"/>
  <c r="H81" i="5"/>
  <c r="H82" i="5" s="1"/>
  <c r="G18" i="5"/>
  <c r="G44" i="5" s="1"/>
  <c r="O44" i="5" l="1"/>
  <c r="Q44" i="5" s="1"/>
  <c r="R44" i="5" s="1"/>
  <c r="S44" i="5" s="1"/>
  <c r="G40" i="5"/>
  <c r="O40" i="5" s="1"/>
  <c r="G33" i="5"/>
  <c r="G41" i="5"/>
  <c r="O41" i="5" s="1"/>
  <c r="Q41" i="5" s="1"/>
  <c r="R41" i="5" s="1"/>
  <c r="G39" i="5"/>
  <c r="G43" i="5"/>
  <c r="O43" i="5" s="1"/>
  <c r="Q43" i="5" s="1"/>
  <c r="R43" i="5" s="1"/>
  <c r="S43" i="5" s="1"/>
  <c r="G57" i="5"/>
  <c r="H59" i="5"/>
  <c r="H66" i="5" s="1"/>
  <c r="G58" i="5"/>
  <c r="G42" i="5"/>
  <c r="O42" i="5" s="1"/>
  <c r="Q43" i="2"/>
  <c r="G63" i="2"/>
  <c r="Q42" i="2"/>
  <c r="Q44" i="2"/>
  <c r="Q41" i="2"/>
  <c r="G66" i="5" l="1"/>
  <c r="Q40" i="5"/>
  <c r="R40" i="5" s="1"/>
  <c r="S40" i="5" s="1"/>
  <c r="O45" i="5"/>
  <c r="G51" i="5"/>
  <c r="S41" i="5"/>
  <c r="Q42" i="5"/>
  <c r="R42" i="5" s="1"/>
  <c r="F62" i="2"/>
  <c r="G60" i="2"/>
  <c r="G50" i="2"/>
  <c r="H50" i="2" s="1"/>
  <c r="K37" i="2"/>
  <c r="E56" i="2"/>
  <c r="I51" i="5" l="1"/>
  <c r="G52" i="5"/>
  <c r="G67" i="5"/>
  <c r="J66" i="5"/>
  <c r="J67" i="5" s="1"/>
  <c r="F53" i="2"/>
  <c r="F52" i="2"/>
  <c r="R45" i="5"/>
  <c r="S42" i="5"/>
  <c r="M42" i="2"/>
  <c r="O42" i="2" s="1"/>
  <c r="M43" i="2"/>
  <c r="O43" i="2" s="1"/>
  <c r="M44" i="2"/>
  <c r="O44" i="2" s="1"/>
  <c r="M41" i="2"/>
  <c r="O41" i="2" s="1"/>
  <c r="F51" i="2"/>
  <c r="F54" i="2" l="1"/>
  <c r="F63" i="2"/>
  <c r="H54" i="2" l="1"/>
  <c r="G51" i="2" l="1"/>
  <c r="I56" i="2"/>
  <c r="G41" i="2"/>
  <c r="P41" i="2" s="1"/>
  <c r="G43" i="2"/>
  <c r="P43" i="2" s="1"/>
  <c r="G39" i="2"/>
  <c r="G40" i="2"/>
  <c r="P44" i="2"/>
  <c r="G42" i="2"/>
  <c r="P42" i="2" s="1"/>
  <c r="G28" i="2"/>
  <c r="R42" i="2" l="1"/>
  <c r="S42" i="2" s="1"/>
  <c r="R44" i="2"/>
  <c r="S44" i="2" s="1"/>
  <c r="R41" i="2"/>
  <c r="S41" i="2" s="1"/>
  <c r="R40" i="2"/>
  <c r="T40" i="2" s="1"/>
  <c r="G46" i="2"/>
  <c r="H46" i="2" s="1"/>
  <c r="P45" i="2"/>
  <c r="R43" i="2"/>
  <c r="S43" i="2" s="1"/>
  <c r="H51" i="2"/>
  <c r="H56" i="2" s="1"/>
  <c r="I57" i="2" s="1"/>
  <c r="G56" i="2"/>
  <c r="J56" i="2" s="1"/>
  <c r="J57" i="2" l="1"/>
  <c r="T41" i="2"/>
  <c r="T43" i="2"/>
  <c r="T44" i="2"/>
  <c r="S40" i="2"/>
  <c r="S45" i="2" s="1"/>
  <c r="G29" i="2" s="1"/>
  <c r="G31" i="2" s="1"/>
  <c r="R45" i="2"/>
  <c r="T42" i="2"/>
  <c r="G32" i="2" l="1"/>
  <c r="G62" i="2" s="1"/>
  <c r="T45" i="2"/>
  <c r="G61" i="2" l="1"/>
  <c r="G30" i="2"/>
  <c r="G65" i="2" l="1"/>
  <c r="J65" i="2" s="1"/>
  <c r="G21" i="5"/>
  <c r="G23" i="5" s="1"/>
  <c r="G24" i="5" l="1"/>
  <c r="G22" i="5" s="1"/>
  <c r="G34" i="5" l="1"/>
  <c r="G72" i="5"/>
  <c r="G73" i="5"/>
  <c r="G81" i="5" l="1"/>
  <c r="G82" i="5" l="1"/>
  <c r="I81" i="5"/>
  <c r="I8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Nguyễn Thị Như Ngọc (VH-KS&amp;M-MB)</author>
  </authors>
  <commentList>
    <comment ref="G32" authorId="0" shapeId="0" xr:uid="{00000000-0006-0000-0100-000001000000}">
      <text>
        <r>
          <rPr>
            <b/>
            <sz val="9"/>
            <color indexed="81"/>
            <rFont val="Tahoma"/>
            <family val="2"/>
          </rPr>
          <t>lấy theo số fixed</t>
        </r>
        <r>
          <rPr>
            <sz val="9"/>
            <color indexed="81"/>
            <rFont val="Tahoma"/>
            <family val="2"/>
          </rPr>
          <t xml:space="preserve">
</t>
        </r>
      </text>
    </comment>
    <comment ref="R45" authorId="0" shapeId="0" xr:uid="{00000000-0006-0000-0100-000002000000}">
      <text>
        <r>
          <rPr>
            <b/>
            <sz val="9"/>
            <color indexed="81"/>
            <rFont val="Tahoma"/>
            <family val="2"/>
          </rPr>
          <t>Nguyễn Thị Như Ngọc (VH-KS&amp;M-MB):</t>
        </r>
        <r>
          <rPr>
            <sz val="9"/>
            <color indexed="81"/>
            <rFont val="Tahoma"/>
            <family val="2"/>
          </rPr>
          <t xml:space="preserve">
add số này Add discount sau CK ở Reservation</t>
        </r>
      </text>
    </comment>
  </commentList>
</comments>
</file>

<file path=xl/sharedStrings.xml><?xml version="1.0" encoding="utf-8"?>
<sst xmlns="http://schemas.openxmlformats.org/spreadsheetml/2006/main" count="770" uniqueCount="211">
  <si>
    <t>Đơn giá (Chưa bao gồm VAT) sau giảm giá</t>
  </si>
  <si>
    <t>Tổng thuế GTGT</t>
  </si>
  <si>
    <t>Kinh phí bảo trì (KH sẽ nộp vào TK mở riêng để thu KPBT)</t>
  </si>
  <si>
    <t>%</t>
  </si>
  <si>
    <t>Ngày thanh toán theo tiến độ</t>
  </si>
  <si>
    <t>Tổng cộng</t>
  </si>
  <si>
    <t>Vốn tự có</t>
  </si>
  <si>
    <t>Thủ tục</t>
  </si>
  <si>
    <t>Khách hàng</t>
  </si>
  <si>
    <t>(Ghi rõ họ và tên)</t>
  </si>
  <si>
    <t>Thông tin khách hàng:</t>
  </si>
  <si>
    <t>Mã căn/Mã thửa:</t>
  </si>
  <si>
    <t>A</t>
  </si>
  <si>
    <t>Giá trị</t>
  </si>
  <si>
    <t>Thông tin không xóa</t>
  </si>
  <si>
    <t>Tổng diện tích đất (m2)</t>
  </si>
  <si>
    <t>Không nhận bảo lãnh ngân hàng</t>
  </si>
  <si>
    <t>Phân khu Tài Lộc 1 (4.1): Với KH mua theo giá trước ngày 29.3.2024 sẽ không được nhận chiết khấu này</t>
  </si>
  <si>
    <t>B</t>
  </si>
  <si>
    <t>Tổng (VND)</t>
  </si>
  <si>
    <t>Thuế GTGT</t>
  </si>
  <si>
    <t>I.</t>
  </si>
  <si>
    <t>Tiến độ thanh toán</t>
  </si>
  <si>
    <t>Thanh toán bằng vốn tự có</t>
  </si>
  <si>
    <t>Lần</t>
  </si>
  <si>
    <t>Lần 1</t>
  </si>
  <si>
    <t>Lần 2</t>
  </si>
  <si>
    <t>Lần 3</t>
  </si>
  <si>
    <t>Lần 4</t>
  </si>
  <si>
    <t>Lần 5</t>
  </si>
  <si>
    <t>Lần 6</t>
  </si>
  <si>
    <t>Lần 7</t>
  </si>
  <si>
    <t>KPBT</t>
  </si>
  <si>
    <t>Quý KH vui lòng thanh toán theo số tài khoản sau:</t>
  </si>
  <si>
    <r>
      <rPr>
        <b/>
        <u/>
        <sz val="12"/>
        <rFont val="Arial"/>
        <family val="2"/>
      </rPr>
      <t>KH cần lưu ý:</t>
    </r>
    <r>
      <rPr>
        <sz val="12"/>
        <rFont val="Arial"/>
        <family val="2"/>
      </rPr>
      <t xml:space="preserve">
"Trường hợp có sai sót trong tính toán và số liệu mà Bên bán hoặc Bên Mua chứng minh được là sai theo các điều khoản, điều kiện của Hợp Đồng, các Phụ lục và/hoặc các văn bản, thỏa thuận liên quan mà các Bên đã ký thì Bên kia phải chấp nhận số liệu tính toán điều chỉnh"</t>
    </r>
  </si>
  <si>
    <t>Kiểm soát</t>
  </si>
  <si>
    <t>Quỹ</t>
  </si>
  <si>
    <t>Theo thông báo của Bên Bán khi Nhà Ở được cấp GCN QSH Nhà Ở hoặc khi Bên Mua xin tự làm thủ tục cấp GCN QSH (tùy thời điểm nào đến trước)</t>
  </si>
  <si>
    <t>Theo thông báo bàn giao của Bên Bán, dự kiến:</t>
  </si>
  <si>
    <t>Giải ngân</t>
  </si>
  <si>
    <t>C</t>
  </si>
  <si>
    <t>Giá trị sau khi lựa chọn Phương án thanh toán</t>
  </si>
  <si>
    <t>CK TTS dòng tiền giảm trừ giá bán</t>
  </si>
  <si>
    <t>Ngày thanh toán theo hạn</t>
  </si>
  <si>
    <t>Ngày thanh toán thực tế</t>
  </si>
  <si>
    <t>Số ngày TTS</t>
  </si>
  <si>
    <t>Số tiền phải thanh toán theo tiến độ</t>
  </si>
  <si>
    <t>Lãi suất ngày</t>
  </si>
  <si>
    <t>Số tiền chiết khấu</t>
  </si>
  <si>
    <t>Số tiền chiết khấu trước VAT</t>
  </si>
  <si>
    <t>Số tiền KH thực nộp</t>
  </si>
  <si>
    <t>Thanh toán theo tiến độ chuẩn</t>
  </si>
  <si>
    <t>Không nhận bảo lãnh Ngân hàng</t>
  </si>
  <si>
    <t>Thanh toán vay vốn ngân hàng có HTLS (tối đa 70%)</t>
  </si>
  <si>
    <t>Chiết khấu Vinclub</t>
  </si>
  <si>
    <t>30% hoàn trả bằng tiền</t>
  </si>
  <si>
    <t>Tổng diện tích sàn xây dựng (m2)</t>
  </si>
  <si>
    <t>Giảm giá khác bằng tiền</t>
  </si>
  <si>
    <t>Hide nếu KH ko chọn TTS</t>
  </si>
  <si>
    <t>Giãn xây</t>
  </si>
  <si>
    <t>Thông tin và Giá trị phần Quyền sử dụng đất &amp; thương mại</t>
  </si>
  <si>
    <t>Tổng giá trị Quyền sử dụng đất và thương mại (đã bao gồm VAT)</t>
  </si>
  <si>
    <t>Giá trị Quyền sử dụng đất và thương mại (chưa bao gồm VAT)</t>
  </si>
  <si>
    <t>Tổng Giá trị Xây dựng (đã bao gồm VAT)</t>
  </si>
  <si>
    <t>Giá trị Xây dựng (chưa bao gồm VAT)</t>
  </si>
  <si>
    <t>D</t>
  </si>
  <si>
    <t>Tổng giá bán Nhà Ở</t>
  </si>
  <si>
    <t>Thông tin và Giá trị phần Xây dựng</t>
  </si>
  <si>
    <t>Giá trị Phần 
Xây dựng</t>
  </si>
  <si>
    <t>Số ngày
TTS</t>
  </si>
  <si>
    <t>5.1</t>
  </si>
  <si>
    <t>5.2</t>
  </si>
  <si>
    <t>5.3</t>
  </si>
  <si>
    <r>
      <t xml:space="preserve">Vay 70% có HTLS </t>
    </r>
    <r>
      <rPr>
        <b/>
        <i/>
        <sz val="12"/>
        <rFont val="Times New Roman"/>
        <family val="1"/>
      </rPr>
      <t>(tối đa 24 tháng kể từ ngày giải ngân đầu tiên)</t>
    </r>
  </si>
  <si>
    <r>
      <rPr>
        <b/>
        <u/>
        <sz val="12"/>
        <rFont val="Times New Roman"/>
        <family val="1"/>
      </rPr>
      <t>KH cần lưu ý:</t>
    </r>
    <r>
      <rPr>
        <sz val="12"/>
        <rFont val="Times New Roman"/>
        <family val="1"/>
      </rPr>
      <t xml:space="preserve">
"Trường hợp có sai sót trong tính toán và số liệu mà Bên bán hoặc Bên Mua chứng minh được là sai theo các điều khoản, điều kiện của Hợp Đồng, các Phụ lục và/hoặc các văn bản, thỏa thuận liên quan mà các Bên đã ký thì Bên kia phải chấp nhận số liệu tính toán điều chỉnh"</t>
    </r>
  </si>
  <si>
    <t>Đơn giá QSD đất không chịu VAT/m2 đất</t>
  </si>
  <si>
    <t>Đơn giá bán/m2 đất (chưa VAT và KPBT)</t>
  </si>
  <si>
    <t>Tổng giá trị QSD đất &amp; thương mại (bao gồm VAT và KPBT)</t>
  </si>
  <si>
    <t>Tổng giá trị QSD đất &amp; thương mại chưa gồm VAT</t>
  </si>
  <si>
    <t>Kinh phí bảo trì Nhà Ở</t>
  </si>
  <si>
    <t>Vay vốn có HTLS 70% trên Giá trị Phần QSD Đất &amp; Thương mại (tối đa 24 tháng kể từ ngày giải ngân đầu tiên)</t>
  </si>
  <si>
    <t>Lần 8</t>
  </si>
  <si>
    <t>Lần 9</t>
  </si>
  <si>
    <t>Lần 10</t>
  </si>
  <si>
    <t>Lần 11</t>
  </si>
  <si>
    <t>Lần 12</t>
  </si>
  <si>
    <t>Tổng giá trị Nhà Ở gồm thuế GTGT</t>
  </si>
  <si>
    <t>Tổng giá trị Nhà Ở trước thuế GTGT và Kinh phí bảo trì</t>
  </si>
  <si>
    <t>Tổng giá trị Nhà Ở gồm Thuế GTGT và Kinh phí bảo trì</t>
  </si>
  <si>
    <t>Tổng giá trị Nhà Ở chưa gồm thuế GTGT</t>
  </si>
  <si>
    <t>Đơn giá QSD đất không chịu thuế GTGT /m2 đất</t>
  </si>
  <si>
    <t>Thông tin Nhà Ở và Phương án thanh toán</t>
  </si>
  <si>
    <t>Đơn giá bán/ m2 (chưa gồm thuế GTGT và Kinh phí bảo trì)</t>
  </si>
  <si>
    <t>Đơn giá (Chưa bao gồm thuế GTGT) sau giảm giá</t>
  </si>
  <si>
    <t>Đơn giá (Đã bao gồm thuế GTGT) sau giảm giá</t>
  </si>
  <si>
    <t>Tổng diện tích xây dựng (m2)</t>
  </si>
  <si>
    <t>Đơn giá bán/m2 xây dựng (chưa VAT và KPBT)</t>
  </si>
  <si>
    <t>Hide nếu KH nhận CKTT</t>
  </si>
  <si>
    <t>Ngày thanh toán</t>
  </si>
  <si>
    <t>Giá trị Phần 
QSD Đất &amp; TM</t>
  </si>
  <si>
    <t>Ko có bảo lãnh</t>
  </si>
  <si>
    <t>T+25: Ngày ký HĐCN</t>
  </si>
  <si>
    <t>25% + KPBT</t>
  </si>
  <si>
    <t>D+24 ngày</t>
  </si>
  <si>
    <t>T+70 ngày</t>
  </si>
  <si>
    <t>T+130 ngày</t>
  </si>
  <si>
    <t>T+190 ngày</t>
  </si>
  <si>
    <t>Ngày ký HĐCN</t>
  </si>
  <si>
    <t>Tổng giá trị Nhà Ở vào HĐCN (bao gồm thuế GTGT và KPBT)</t>
  </si>
  <si>
    <t>Chiết khấu thanh toán sớm bằng tiền nếu thanh toán sớm trong 25 ngày (chưa thuế GTGT)</t>
  </si>
  <si>
    <t>Ký TTĐC HĐCN (Ngày T)</t>
  </si>
  <si>
    <t>T+280</t>
  </si>
  <si>
    <t>T+720+10</t>
  </si>
  <si>
    <t>T+720+25</t>
  </si>
  <si>
    <t>T+720+70</t>
  </si>
  <si>
    <t>T+720+130</t>
  </si>
  <si>
    <t>T+720+190</t>
  </si>
  <si>
    <t>Theo thông báo bàn giao Nhà ở của Bên Bán, dự kiến D+720+280</t>
  </si>
  <si>
    <t>25%+KPBT</t>
  </si>
  <si>
    <t>T+24: Ngày ký HĐCN</t>
  </si>
  <si>
    <t>Chiết khấu thanh toán sớm bằng tiền nếu thanh toán sớm trong 25 ngày (chưa VAT)</t>
  </si>
  <si>
    <t>Thanh toán sớm trong vòng 25 ngày kể từ ngày ký TTĐC</t>
  </si>
  <si>
    <t>Thanh toán sớm trong vòng 25 ngày kể từ ngày ký TTDC</t>
  </si>
  <si>
    <t>Trong vòng 25 ngày kể từ ngày ký TTDC</t>
  </si>
  <si>
    <t>Chiết khấu khác</t>
  </si>
  <si>
    <r>
      <t xml:space="preserve">PHIẾU TÍNH GIÁ
DỰ ÁN VINHOMES WONDER CITY
</t>
    </r>
    <r>
      <rPr>
        <b/>
        <i/>
        <sz val="12"/>
        <color rgb="FFFF0000"/>
        <rFont val="Times New Roman"/>
        <family val="1"/>
      </rPr>
      <t>*KH lưu ý: PTG chỉ mang tính chất tham khảo, không dùng để làm căn cứ khi làm việc với CĐT. 
Để làm rõ: Số liệu trên bảng tính excel có thể sai số so với bảng tính giá và ngày vào tiền tại HĐMB, nếu có sai khác thì các bên thống nhất Số liệu trên HĐMB sẽ là số liệu cuối cùng.</t>
    </r>
  </si>
  <si>
    <t>Mã căn</t>
  </si>
  <si>
    <t>Giá trước VAT</t>
  </si>
  <si>
    <t>VAT</t>
  </si>
  <si>
    <t>HĐ39-16</t>
  </si>
  <si>
    <t>HĐ40-10</t>
  </si>
  <si>
    <t>HĐ48-25</t>
  </si>
  <si>
    <t>HĐ48-57</t>
  </si>
  <si>
    <t>HĐ-72</t>
  </si>
  <si>
    <t>HĐ02-08</t>
  </si>
  <si>
    <t>HĐ-73</t>
  </si>
  <si>
    <t>HĐ33-39Đất</t>
  </si>
  <si>
    <t>HĐ33-39Xây dựng</t>
  </si>
  <si>
    <t>HĐ47-28</t>
  </si>
  <si>
    <t>HĐ05-04</t>
  </si>
  <si>
    <t>HĐ08-21</t>
  </si>
  <si>
    <t>HĐ26-09Đất</t>
  </si>
  <si>
    <t>HĐ26-11Đất</t>
  </si>
  <si>
    <t>HĐ33-02Đất</t>
  </si>
  <si>
    <t>HĐ33-22Đất</t>
  </si>
  <si>
    <t>HĐ26-09Xây dựng</t>
  </si>
  <si>
    <t>HĐ26-11Xây dựng</t>
  </si>
  <si>
    <t>HĐ33-02Xây dựng</t>
  </si>
  <si>
    <t>HĐ33-22Xây dựng</t>
  </si>
  <si>
    <t>Diện Tích Đất</t>
  </si>
  <si>
    <t>Diện Tích Xây</t>
  </si>
  <si>
    <t>Tổng Giá FULL</t>
  </si>
  <si>
    <t>Giá Full</t>
  </si>
  <si>
    <t>BM25-23</t>
  </si>
  <si>
    <t>Đơn Giá bán (xấy)</t>
  </si>
  <si>
    <t>Đơn Giá bán đất</t>
  </si>
  <si>
    <t>Giá Đất FULL</t>
  </si>
  <si>
    <t>tttđ</t>
  </si>
  <si>
    <t>tts</t>
  </si>
  <si>
    <t>T+5 ngày</t>
  </si>
  <si>
    <t>Thô xây luôn</t>
  </si>
  <si>
    <t>Ngày bàn giao</t>
  </si>
  <si>
    <t>HĐ46-15</t>
  </si>
  <si>
    <t>HĐ45-01</t>
  </si>
  <si>
    <t>HĐ16-10</t>
  </si>
  <si>
    <t>Áp dụng từ: 08/05/2025</t>
  </si>
  <si>
    <t>HĐ17-07</t>
  </si>
  <si>
    <t>HĐ50-16</t>
  </si>
  <si>
    <t>HĐ46-18</t>
  </si>
  <si>
    <t>HĐ07-33</t>
  </si>
  <si>
    <t>HĐ46-24</t>
  </si>
  <si>
    <t>HĐ46-16</t>
  </si>
  <si>
    <t>HĐ38-36</t>
  </si>
  <si>
    <t>HĐ-85</t>
  </si>
  <si>
    <t>BM27-03</t>
  </si>
  <si>
    <t>HĐ48-05</t>
  </si>
  <si>
    <t>HĐ48-29</t>
  </si>
  <si>
    <t>BM28-08</t>
  </si>
  <si>
    <t>HĐ-70</t>
  </si>
  <si>
    <t xml:space="preserve"> giảm trừ vào giá bán</t>
  </si>
  <si>
    <t>HĐ48-27</t>
  </si>
  <si>
    <t>HĐ50-01</t>
  </si>
  <si>
    <t>HĐ48-33</t>
  </si>
  <si>
    <t>BM09-01</t>
  </si>
  <si>
    <t>HĐ48-59</t>
  </si>
  <si>
    <t>HĐ24-06</t>
  </si>
  <si>
    <t>HĐ24-30</t>
  </si>
  <si>
    <t>HĐ36-09</t>
  </si>
  <si>
    <r>
      <t xml:space="preserve">Vay 70% có HTLS </t>
    </r>
    <r>
      <rPr>
        <b/>
        <i/>
        <sz val="12"/>
        <rFont val="Times New Roman"/>
        <family val="1"/>
      </rPr>
      <t>(tối đa 12 tháng kể từ ngày giải ngân đầu tiên)</t>
    </r>
  </si>
  <si>
    <t>chiết khấu vay</t>
  </si>
  <si>
    <t>HĐ-56</t>
  </si>
  <si>
    <t>ĐLBM-71</t>
  </si>
  <si>
    <t>ĐLBM-93</t>
  </si>
  <si>
    <t>ĐLBM-73</t>
  </si>
  <si>
    <t>ĐLBM-131</t>
  </si>
  <si>
    <t>ĐLBM-91</t>
  </si>
  <si>
    <t>HĐ-41</t>
  </si>
  <si>
    <t>ĐLBM-44</t>
  </si>
  <si>
    <t>ĐLBM-123</t>
  </si>
  <si>
    <t>ĐLBM-125</t>
  </si>
  <si>
    <t>T+100 ngày</t>
  </si>
  <si>
    <t>HĐ36-25</t>
  </si>
  <si>
    <t>HĐ-83</t>
  </si>
  <si>
    <t>HĐ-93</t>
  </si>
  <si>
    <t>HĐ-95</t>
  </si>
  <si>
    <t>HĐ36-21</t>
  </si>
  <si>
    <t>HĐ23-20</t>
  </si>
  <si>
    <t>ĐLBM-129</t>
  </si>
  <si>
    <t>s</t>
  </si>
  <si>
    <t>HĐ48-13</t>
  </si>
  <si>
    <t>Ưu đãi Vpoint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</si>
</sst>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3" formatCode="_(* #,##0.00_);_(* \(#,##0.00\);_(* &quot;-&quot;??_);_(@_)"/>
    <numFmt numFmtId="164" formatCode="_-* #,##0.00_-;\-* #,##0.00_-;_-* &quot;-&quot;??_-;_-@_-"/>
    <numFmt numFmtId="165" formatCode="_(* #,##0_);_(* \(#,##0\);_(* &quot;-&quot;??_);_(@_)"/>
    <numFmt numFmtId="166" formatCode="0.0"/>
    <numFmt numFmtId="167" formatCode="0.0%"/>
    <numFmt numFmtId="168" formatCode="_-* #,##0_-;\-* #,##0_-;_-* &quot;-&quot;??_-;_-@_-"/>
    <numFmt numFmtId="169" formatCode="_(* #,##0_);_(* \(#,##0\);_(* &quot;-&quot;?_);_(@_)"/>
    <numFmt numFmtId="170" formatCode="0.00000%"/>
    <numFmt numFmtId="171" formatCode="_-* #,##0\ _₫_-;\-* #,##0\ _₫_-;_-* &quot;-&quot;?\ _₫_-;_-@_-"/>
    <numFmt numFmtId="172" formatCode="_-* #,##0.0\ _₫_-;\-* #,##0.0\ _₫_-;_-* &quot;-&quot;?\ _₫_-;_-@_-"/>
    <numFmt numFmtId="173" formatCode="_-* #,##0.0_-;\-* #,##0.0_-;_-* &quot;-&quot;??_-;_-@_-"/>
  </numFmts>
  <fonts count="36" x14ac:knownFonts="1">
    <font>
      <sz val="11"/>
      <color theme="1"/>
      <name val="Calibri"/>
      <family val="2"/>
      <charset val="163"/>
      <scheme val="minor"/>
    </font>
    <font>
      <sz val="11"/>
      <color theme="1"/>
      <name val="Calibri"/>
      <family val="2"/>
      <charset val="163"/>
      <scheme val="minor"/>
    </font>
    <font>
      <sz val="11"/>
      <color theme="1"/>
      <name val="Arial"/>
      <family val="2"/>
    </font>
    <font>
      <sz val="11"/>
      <color theme="1"/>
      <name val="Calibri"/>
      <family val="2"/>
      <scheme val="minor"/>
    </font>
    <font>
      <sz val="11"/>
      <color indexed="8"/>
      <name val="Calibri"/>
      <family val="2"/>
    </font>
    <font>
      <sz val="10"/>
      <name val="Arial"/>
      <family val="2"/>
    </font>
    <font>
      <sz val="12"/>
      <name val="Arial"/>
      <family val="2"/>
    </font>
    <font>
      <b/>
      <sz val="12"/>
      <name val="Arial"/>
      <family val="2"/>
    </font>
    <font>
      <b/>
      <sz val="12"/>
      <color rgb="FFFF0000"/>
      <name val="Arial"/>
      <family val="2"/>
    </font>
    <font>
      <b/>
      <u/>
      <sz val="12"/>
      <name val="Arial"/>
      <family val="2"/>
    </font>
    <font>
      <sz val="8"/>
      <name val="Calibri"/>
      <family val="2"/>
      <charset val="163"/>
      <scheme val="minor"/>
    </font>
    <font>
      <b/>
      <sz val="12"/>
      <color theme="1"/>
      <name val="Times New Roman"/>
      <family val="1"/>
    </font>
    <font>
      <sz val="9"/>
      <color indexed="81"/>
      <name val="Tahoma"/>
      <family val="2"/>
    </font>
    <font>
      <b/>
      <sz val="9"/>
      <color indexed="81"/>
      <name val="Tahoma"/>
      <family val="2"/>
    </font>
    <font>
      <b/>
      <sz val="12"/>
      <name val="Times New Roman"/>
      <family val="1"/>
    </font>
    <font>
      <sz val="12"/>
      <name val="Times New Roman"/>
      <family val="1"/>
    </font>
    <font>
      <b/>
      <sz val="12"/>
      <color rgb="FF7030A0"/>
      <name val="Times New Roman"/>
      <family val="1"/>
    </font>
    <font>
      <sz val="12"/>
      <color theme="0"/>
      <name val="Times New Roman"/>
      <family val="1"/>
    </font>
    <font>
      <b/>
      <sz val="12"/>
      <color rgb="FFFF0000"/>
      <name val="Times New Roman"/>
      <family val="1"/>
    </font>
    <font>
      <sz val="12"/>
      <color rgb="FFFF0000"/>
      <name val="Times New Roman"/>
      <family val="1"/>
    </font>
    <font>
      <i/>
      <sz val="12"/>
      <color rgb="FFFF0000"/>
      <name val="Times New Roman"/>
      <family val="1"/>
    </font>
    <font>
      <sz val="12"/>
      <color theme="1"/>
      <name val="Times New Roman"/>
      <family val="1"/>
    </font>
    <font>
      <b/>
      <sz val="16"/>
      <name val="Times New Roman"/>
      <family val="1"/>
    </font>
    <font>
      <b/>
      <sz val="12"/>
      <color theme="0"/>
      <name val="Times New Roman"/>
      <family val="1"/>
    </font>
    <font>
      <b/>
      <i/>
      <sz val="12"/>
      <name val="Times New Roman"/>
      <family val="1"/>
    </font>
    <font>
      <b/>
      <u/>
      <sz val="12"/>
      <name val="Times New Roman"/>
      <family val="1"/>
    </font>
    <font>
      <i/>
      <sz val="12"/>
      <name val="Times New Roman"/>
      <family val="1"/>
    </font>
    <font>
      <i/>
      <sz val="12"/>
      <color theme="1"/>
      <name val="Times New Roman"/>
      <family val="1"/>
    </font>
    <font>
      <b/>
      <i/>
      <sz val="12"/>
      <color theme="1"/>
      <name val="Times New Roman"/>
      <family val="1"/>
    </font>
    <font>
      <b/>
      <i/>
      <sz val="12"/>
      <color rgb="FF7030A0"/>
      <name val="Times New Roman"/>
      <family val="1"/>
    </font>
    <font>
      <i/>
      <sz val="12"/>
      <color theme="9" tint="-0.249977111117893"/>
      <name val="Times New Roman"/>
      <family val="1"/>
    </font>
    <font>
      <sz val="12"/>
      <color theme="9" tint="-0.249977111117893"/>
      <name val="Times New Roman"/>
      <family val="1"/>
    </font>
    <font>
      <sz val="14"/>
      <color rgb="FF000000"/>
      <name val="Times New Roman"/>
      <family val="2"/>
    </font>
    <font>
      <b/>
      <i/>
      <sz val="12"/>
      <color rgb="FFFF0000"/>
      <name val="Times New Roman"/>
      <family val="1"/>
    </font>
    <font>
      <sz val="12"/>
      <color theme="4" tint="0.59999389629810485"/>
      <name val="Times New Roman"/>
      <family val="1"/>
    </font>
    <font>
      <sz val="11"/>
      <color rgb="FF000000"/>
      <name val="Calibri"/>
      <family val="2"/>
      <charset val="163"/>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rgb="FFFF0000"/>
        <bgColor indexed="64"/>
      </patternFill>
    </fill>
    <fill>
      <patternFill patternType="solid">
        <fgColor theme="3" tint="0.79998168889431442"/>
        <bgColor indexed="64"/>
      </patternFill>
    </fill>
    <fill>
      <patternFill patternType="solid">
        <fgColor rgb="FF00B0F0"/>
        <bgColor indexed="64"/>
      </patternFill>
    </fill>
    <fill>
      <patternFill patternType="solid">
        <fgColor theme="9" tint="0.39997558519241921"/>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43" fontId="4" fillId="0" borderId="0" applyFont="0" applyFill="0" applyBorder="0" applyAlignment="0" applyProtection="0"/>
    <xf numFmtId="0" fontId="5" fillId="0" borderId="0"/>
    <xf numFmtId="41" fontId="1" fillId="0" borderId="0" applyFont="0" applyFill="0" applyBorder="0" applyAlignment="0" applyProtection="0"/>
  </cellStyleXfs>
  <cellXfs count="379">
    <xf numFmtId="0" fontId="0" fillId="0" borderId="0" xfId="0"/>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19" fillId="0" borderId="10" xfId="0" applyFont="1" applyBorder="1" applyAlignment="1">
      <alignment horizontal="center" vertical="center"/>
    </xf>
    <xf numFmtId="0" fontId="15" fillId="0" borderId="1" xfId="0" applyFont="1" applyBorder="1" applyAlignment="1">
      <alignment horizontal="center" vertical="center"/>
    </xf>
    <xf numFmtId="14" fontId="15" fillId="2" borderId="1" xfId="0" applyNumberFormat="1" applyFont="1" applyFill="1" applyBorder="1" applyAlignment="1">
      <alignment horizontal="center" vertical="center"/>
    </xf>
    <xf numFmtId="168" fontId="15" fillId="0" borderId="1" xfId="1" applyNumberFormat="1" applyFont="1" applyBorder="1" applyAlignment="1">
      <alignment vertical="center"/>
    </xf>
    <xf numFmtId="0" fontId="15" fillId="0" borderId="1" xfId="0" applyFont="1" applyBorder="1" applyAlignment="1">
      <alignment vertical="center"/>
    </xf>
    <xf numFmtId="0" fontId="15" fillId="0" borderId="0" xfId="0" applyFont="1" applyAlignment="1">
      <alignment vertical="center"/>
    </xf>
    <xf numFmtId="14" fontId="15" fillId="0" borderId="0" xfId="0" applyNumberFormat="1" applyFont="1" applyAlignment="1">
      <alignment vertical="center"/>
    </xf>
    <xf numFmtId="0" fontId="15" fillId="0" borderId="0" xfId="0" applyFont="1" applyAlignment="1">
      <alignment horizontal="center" vertical="center" wrapText="1"/>
    </xf>
    <xf numFmtId="9" fontId="15" fillId="0" borderId="1" xfId="2" applyFont="1" applyBorder="1" applyAlignment="1">
      <alignment horizontal="center" vertical="center"/>
    </xf>
    <xf numFmtId="0" fontId="15" fillId="0" borderId="1" xfId="0" applyFont="1" applyBorder="1" applyAlignment="1">
      <alignment horizontal="left" vertical="center"/>
    </xf>
    <xf numFmtId="171" fontId="15" fillId="0" borderId="1" xfId="0" applyNumberFormat="1" applyFont="1" applyBorder="1" applyAlignment="1">
      <alignment vertical="center"/>
    </xf>
    <xf numFmtId="9" fontId="15" fillId="0" borderId="1" xfId="0" applyNumberFormat="1" applyFont="1" applyBorder="1" applyAlignment="1">
      <alignment horizontal="center" vertical="center" wrapText="1"/>
    </xf>
    <xf numFmtId="0" fontId="14" fillId="4" borderId="1" xfId="6" applyFont="1" applyFill="1" applyBorder="1" applyAlignment="1" applyProtection="1">
      <alignment horizontal="center" vertical="center" wrapText="1"/>
      <protection hidden="1"/>
    </xf>
    <xf numFmtId="0" fontId="14" fillId="4" borderId="4" xfId="6" applyFont="1" applyFill="1" applyBorder="1" applyAlignment="1" applyProtection="1">
      <alignment vertical="center"/>
      <protection hidden="1"/>
    </xf>
    <xf numFmtId="0" fontId="15" fillId="0" borderId="6" xfId="0" applyFont="1" applyBorder="1" applyAlignment="1">
      <alignment horizontal="center" vertical="center"/>
    </xf>
    <xf numFmtId="0" fontId="15" fillId="4" borderId="1" xfId="0" applyFont="1" applyFill="1" applyBorder="1" applyAlignment="1">
      <alignment horizontal="center" vertical="center"/>
    </xf>
    <xf numFmtId="0" fontId="15" fillId="4" borderId="1" xfId="0" applyFont="1" applyFill="1" applyBorder="1" applyAlignment="1">
      <alignment vertical="center"/>
    </xf>
    <xf numFmtId="171" fontId="14" fillId="4" borderId="1" xfId="0" applyNumberFormat="1" applyFont="1" applyFill="1" applyBorder="1" applyAlignment="1">
      <alignment vertical="center"/>
    </xf>
    <xf numFmtId="9" fontId="15" fillId="4" borderId="1" xfId="1" applyNumberFormat="1" applyFont="1" applyFill="1" applyBorder="1" applyAlignment="1">
      <alignment horizontal="center" vertical="center"/>
    </xf>
    <xf numFmtId="9" fontId="15" fillId="0" borderId="1" xfId="1" applyNumberFormat="1" applyFont="1" applyBorder="1" applyAlignment="1">
      <alignment horizontal="center" vertical="center"/>
    </xf>
    <xf numFmtId="0" fontId="19" fillId="0" borderId="0" xfId="0" applyFont="1" applyAlignment="1">
      <alignment vertical="center"/>
    </xf>
    <xf numFmtId="168" fontId="14" fillId="4" borderId="1" xfId="0" applyNumberFormat="1" applyFont="1" applyFill="1" applyBorder="1" applyAlignment="1">
      <alignment vertical="center"/>
    </xf>
    <xf numFmtId="14" fontId="15" fillId="0" borderId="1" xfId="0" applyNumberFormat="1" applyFont="1" applyBorder="1" applyAlignment="1">
      <alignment vertical="center"/>
    </xf>
    <xf numFmtId="0" fontId="15" fillId="0" borderId="1" xfId="0" applyFont="1" applyBorder="1" applyAlignment="1">
      <alignment horizontal="center" vertical="center" wrapText="1"/>
    </xf>
    <xf numFmtId="14" fontId="15" fillId="2" borderId="1" xfId="0" applyNumberFormat="1" applyFont="1" applyFill="1" applyBorder="1" applyAlignment="1">
      <alignment vertical="center"/>
    </xf>
    <xf numFmtId="168" fontId="15" fillId="0" borderId="1" xfId="0" applyNumberFormat="1" applyFont="1" applyBorder="1" applyAlignment="1">
      <alignment vertical="center"/>
    </xf>
    <xf numFmtId="168" fontId="15" fillId="0" borderId="0" xfId="0" applyNumberFormat="1" applyFont="1" applyAlignment="1">
      <alignment vertical="center"/>
    </xf>
    <xf numFmtId="168" fontId="7" fillId="4" borderId="1" xfId="1"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168" fontId="15" fillId="0" borderId="1" xfId="0" applyNumberFormat="1" applyFont="1" applyBorder="1" applyAlignment="1">
      <alignment horizontal="center" vertical="center" wrapText="1"/>
    </xf>
    <xf numFmtId="168" fontId="14" fillId="9" borderId="1" xfId="0" applyNumberFormat="1" applyFont="1" applyFill="1" applyBorder="1" applyAlignment="1">
      <alignment horizontal="center" vertical="center" wrapText="1"/>
    </xf>
    <xf numFmtId="171" fontId="14" fillId="0" borderId="0" xfId="0" applyNumberFormat="1" applyFont="1" applyAlignment="1">
      <alignment horizontal="center" vertical="center"/>
    </xf>
    <xf numFmtId="0" fontId="14" fillId="4" borderId="4" xfId="6" applyFont="1" applyFill="1" applyBorder="1" applyAlignment="1" applyProtection="1">
      <alignment horizontal="center" vertical="center" wrapText="1"/>
      <protection hidden="1"/>
    </xf>
    <xf numFmtId="0" fontId="14" fillId="4" borderId="5" xfId="6" applyFont="1" applyFill="1" applyBorder="1" applyAlignment="1" applyProtection="1">
      <alignment horizontal="center" vertical="center" wrapText="1"/>
      <protection hidden="1"/>
    </xf>
    <xf numFmtId="0" fontId="14"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14" fillId="4" borderId="1" xfId="0" applyFont="1" applyFill="1" applyBorder="1" applyAlignment="1">
      <alignment vertical="center"/>
    </xf>
    <xf numFmtId="0" fontId="14" fillId="4" borderId="1" xfId="0" applyFont="1" applyFill="1" applyBorder="1" applyAlignment="1">
      <alignment vertical="center" wrapText="1"/>
    </xf>
    <xf numFmtId="14" fontId="15" fillId="0" borderId="1" xfId="0" applyNumberFormat="1" applyFont="1" applyBorder="1" applyAlignment="1">
      <alignment horizontal="center" vertical="center"/>
    </xf>
    <xf numFmtId="169" fontId="15" fillId="0" borderId="1" xfId="0" applyNumberFormat="1" applyFont="1" applyBorder="1" applyAlignment="1">
      <alignment vertical="center"/>
    </xf>
    <xf numFmtId="170" fontId="15" fillId="0" borderId="1" xfId="2" applyNumberFormat="1" applyFont="1" applyBorder="1" applyAlignment="1">
      <alignment horizontal="center" vertical="center"/>
    </xf>
    <xf numFmtId="165" fontId="15" fillId="0" borderId="1" xfId="0" applyNumberFormat="1" applyFont="1" applyBorder="1" applyAlignment="1">
      <alignment vertical="center"/>
    </xf>
    <xf numFmtId="168" fontId="15" fillId="0" borderId="1" xfId="1" applyNumberFormat="1" applyFont="1" applyBorder="1" applyAlignment="1">
      <alignment horizontal="center" vertical="center" wrapText="1"/>
    </xf>
    <xf numFmtId="9" fontId="15" fillId="0" borderId="1" xfId="4" applyNumberFormat="1" applyFont="1" applyBorder="1" applyAlignment="1" applyProtection="1">
      <alignment horizontal="center" vertical="center" wrapText="1"/>
      <protection locked="0"/>
    </xf>
    <xf numFmtId="14" fontId="15" fillId="2" borderId="3" xfId="6" applyNumberFormat="1" applyFont="1" applyFill="1" applyBorder="1" applyAlignment="1" applyProtection="1">
      <alignment horizontal="center" vertical="center"/>
      <protection hidden="1"/>
    </xf>
    <xf numFmtId="165" fontId="15" fillId="3" borderId="1" xfId="1" applyNumberFormat="1" applyFont="1" applyFill="1" applyBorder="1" applyAlignment="1" applyProtection="1">
      <alignment horizontal="center" vertical="center"/>
      <protection hidden="1"/>
    </xf>
    <xf numFmtId="165" fontId="15" fillId="0" borderId="0" xfId="1" applyNumberFormat="1" applyFont="1" applyAlignment="1">
      <alignment vertical="center"/>
    </xf>
    <xf numFmtId="165" fontId="14" fillId="4" borderId="1" xfId="0" applyNumberFormat="1" applyFont="1" applyFill="1" applyBorder="1" applyAlignment="1">
      <alignment horizontal="center" vertical="center"/>
    </xf>
    <xf numFmtId="165" fontId="14" fillId="9" borderId="1" xfId="0" applyNumberFormat="1" applyFont="1" applyFill="1" applyBorder="1" applyAlignment="1">
      <alignment horizontal="center" vertical="center"/>
    </xf>
    <xf numFmtId="0" fontId="14" fillId="4" borderId="3" xfId="6" applyFont="1" applyFill="1" applyBorder="1" applyAlignment="1" applyProtection="1">
      <alignment horizontal="center" vertical="center" wrapText="1"/>
      <protection hidden="1"/>
    </xf>
    <xf numFmtId="169" fontId="15" fillId="0" borderId="1" xfId="6" applyNumberFormat="1" applyFont="1" applyBorder="1" applyAlignment="1" applyProtection="1">
      <alignment vertical="center"/>
      <protection hidden="1"/>
    </xf>
    <xf numFmtId="168" fontId="15" fillId="0" borderId="1" xfId="1" applyNumberFormat="1" applyFont="1" applyBorder="1" applyAlignment="1" applyProtection="1">
      <alignment vertical="center"/>
      <protection hidden="1"/>
    </xf>
    <xf numFmtId="9" fontId="15" fillId="0" borderId="1" xfId="4" applyNumberFormat="1" applyFont="1" applyBorder="1" applyAlignment="1" applyProtection="1">
      <alignment horizontal="center" vertical="center"/>
      <protection locked="0"/>
    </xf>
    <xf numFmtId="165" fontId="15" fillId="0" borderId="0" xfId="1" applyNumberFormat="1" applyFont="1" applyAlignment="1">
      <alignment horizontal="right" vertical="center"/>
    </xf>
    <xf numFmtId="0" fontId="15" fillId="0" borderId="1" xfId="6" applyFont="1" applyBorder="1" applyAlignment="1" applyProtection="1">
      <alignment vertical="center" wrapText="1"/>
      <protection hidden="1"/>
    </xf>
    <xf numFmtId="168" fontId="15" fillId="0" borderId="1" xfId="1" applyNumberFormat="1" applyFont="1" applyFill="1" applyBorder="1" applyAlignment="1" applyProtection="1">
      <alignment vertical="center"/>
      <protection hidden="1"/>
    </xf>
    <xf numFmtId="0" fontId="14" fillId="0" borderId="0" xfId="0" applyFont="1" applyAlignment="1">
      <alignment horizontal="left" vertical="center"/>
    </xf>
    <xf numFmtId="0" fontId="15" fillId="0" borderId="0" xfId="0" applyFont="1" applyAlignment="1">
      <alignment horizontal="left" vertical="center"/>
    </xf>
    <xf numFmtId="9" fontId="15" fillId="0" borderId="0" xfId="0" applyNumberFormat="1" applyFont="1" applyAlignment="1">
      <alignment horizontal="center" vertical="center"/>
    </xf>
    <xf numFmtId="14" fontId="15" fillId="0" borderId="0" xfId="0" applyNumberFormat="1" applyFont="1" applyAlignment="1">
      <alignment horizontal="center" vertical="center"/>
    </xf>
    <xf numFmtId="0" fontId="15" fillId="0" borderId="6" xfId="0" applyFont="1" applyBorder="1" applyAlignment="1">
      <alignment horizontal="left" vertical="center"/>
    </xf>
    <xf numFmtId="0" fontId="14" fillId="6" borderId="10" xfId="0" applyFont="1" applyFill="1" applyBorder="1" applyAlignment="1">
      <alignment horizontal="center" vertical="center"/>
    </xf>
    <xf numFmtId="171" fontId="14" fillId="2" borderId="10" xfId="0" applyNumberFormat="1" applyFont="1" applyFill="1" applyBorder="1" applyAlignment="1">
      <alignment horizontal="right" vertical="center"/>
    </xf>
    <xf numFmtId="168" fontId="20" fillId="0" borderId="0" xfId="1" applyNumberFormat="1" applyFont="1" applyFill="1" applyAlignment="1">
      <alignment vertical="center"/>
    </xf>
    <xf numFmtId="14" fontId="19" fillId="0" borderId="0" xfId="0" applyNumberFormat="1" applyFont="1" applyAlignment="1">
      <alignment vertical="center"/>
    </xf>
    <xf numFmtId="10" fontId="19" fillId="0" borderId="0" xfId="0" applyNumberFormat="1" applyFont="1" applyAlignment="1">
      <alignment vertical="center"/>
    </xf>
    <xf numFmtId="0" fontId="19" fillId="0" borderId="0" xfId="0" applyFont="1" applyAlignment="1">
      <alignment horizontal="center" vertical="center" wrapText="1"/>
    </xf>
    <xf numFmtId="171" fontId="14" fillId="6" borderId="10" xfId="0" applyNumberFormat="1" applyFont="1" applyFill="1" applyBorder="1" applyAlignment="1">
      <alignment horizontal="center" vertical="center" wrapText="1"/>
    </xf>
    <xf numFmtId="14" fontId="17" fillId="0" borderId="0" xfId="0" applyNumberFormat="1" applyFont="1" applyAlignment="1">
      <alignment vertical="center"/>
    </xf>
    <xf numFmtId="0" fontId="17" fillId="0" borderId="0" xfId="0" applyFont="1" applyAlignment="1">
      <alignment vertical="center"/>
    </xf>
    <xf numFmtId="10" fontId="17" fillId="0" borderId="0" xfId="0" applyNumberFormat="1" applyFont="1" applyAlignment="1">
      <alignment vertical="center"/>
    </xf>
    <xf numFmtId="0" fontId="26" fillId="0" borderId="0" xfId="0" applyFont="1" applyAlignment="1">
      <alignment vertical="center"/>
    </xf>
    <xf numFmtId="14" fontId="26" fillId="0" borderId="0" xfId="0" applyNumberFormat="1" applyFont="1" applyAlignment="1">
      <alignment vertical="center"/>
    </xf>
    <xf numFmtId="0" fontId="26" fillId="0" borderId="0" xfId="0" applyFont="1" applyAlignment="1">
      <alignment horizontal="center" vertical="center" wrapText="1"/>
    </xf>
    <xf numFmtId="0" fontId="15" fillId="0" borderId="0" xfId="0" applyFont="1" applyAlignment="1">
      <alignment horizontal="center" vertical="center"/>
    </xf>
    <xf numFmtId="0" fontId="16" fillId="0" borderId="0" xfId="0" applyFont="1" applyAlignment="1">
      <alignment vertical="center"/>
    </xf>
    <xf numFmtId="3" fontId="16" fillId="0" borderId="0" xfId="0" applyNumberFormat="1" applyFont="1" applyAlignment="1">
      <alignment vertical="center"/>
    </xf>
    <xf numFmtId="0" fontId="14" fillId="6" borderId="6" xfId="0" applyFont="1" applyFill="1" applyBorder="1" applyAlignment="1">
      <alignment horizontal="center" vertical="center"/>
    </xf>
    <xf numFmtId="165" fontId="18" fillId="2" borderId="1" xfId="0" applyNumberFormat="1" applyFont="1" applyFill="1" applyBorder="1" applyAlignment="1">
      <alignment vertical="center"/>
    </xf>
    <xf numFmtId="166" fontId="15" fillId="2" borderId="1" xfId="0" applyNumberFormat="1" applyFont="1" applyFill="1" applyBorder="1" applyAlignment="1">
      <alignment vertical="center"/>
    </xf>
    <xf numFmtId="168" fontId="15" fillId="0" borderId="1" xfId="1" applyNumberFormat="1" applyFont="1" applyFill="1" applyBorder="1" applyAlignment="1">
      <alignment vertical="center"/>
    </xf>
    <xf numFmtId="167" fontId="20" fillId="2" borderId="1" xfId="2" applyNumberFormat="1" applyFont="1" applyFill="1" applyBorder="1" applyAlignment="1">
      <alignment vertical="center"/>
    </xf>
    <xf numFmtId="0" fontId="20" fillId="0" borderId="0" xfId="0" applyFont="1" applyAlignment="1">
      <alignment horizontal="center" vertical="center"/>
    </xf>
    <xf numFmtId="0" fontId="20" fillId="0" borderId="0" xfId="0" applyFont="1" applyAlignment="1">
      <alignment vertical="center"/>
    </xf>
    <xf numFmtId="10" fontId="20" fillId="0" borderId="0" xfId="0" applyNumberFormat="1" applyFont="1" applyAlignment="1">
      <alignment vertical="center"/>
    </xf>
    <xf numFmtId="0" fontId="20" fillId="0" borderId="0" xfId="0" applyFont="1" applyAlignment="1">
      <alignment horizontal="center" vertical="center" wrapText="1"/>
    </xf>
    <xf numFmtId="14" fontId="20" fillId="0" borderId="0" xfId="0" applyNumberFormat="1" applyFont="1" applyAlignment="1">
      <alignment vertical="center"/>
    </xf>
    <xf numFmtId="9" fontId="20" fillId="0" borderId="0" xfId="0" applyNumberFormat="1" applyFont="1" applyAlignment="1">
      <alignment vertical="center"/>
    </xf>
    <xf numFmtId="0" fontId="20" fillId="0" borderId="1" xfId="0" applyFont="1" applyBorder="1" applyAlignment="1">
      <alignment horizontal="center" vertical="center"/>
    </xf>
    <xf numFmtId="0" fontId="20" fillId="3" borderId="9" xfId="3" applyFont="1" applyFill="1" applyBorder="1" applyAlignment="1" applyProtection="1">
      <alignment horizontal="left" vertical="center"/>
      <protection hidden="1"/>
    </xf>
    <xf numFmtId="0" fontId="20" fillId="3" borderId="2" xfId="3" applyFont="1" applyFill="1" applyBorder="1" applyAlignment="1" applyProtection="1">
      <alignment horizontal="left" vertical="center"/>
      <protection hidden="1"/>
    </xf>
    <xf numFmtId="0" fontId="20" fillId="3" borderId="11" xfId="3" applyFont="1" applyFill="1" applyBorder="1" applyAlignment="1" applyProtection="1">
      <alignment horizontal="left" vertical="center"/>
      <protection hidden="1"/>
    </xf>
    <xf numFmtId="168" fontId="19" fillId="2" borderId="10" xfId="1" applyNumberFormat="1" applyFont="1" applyFill="1" applyBorder="1" applyAlignment="1">
      <alignment vertical="center"/>
    </xf>
    <xf numFmtId="0" fontId="19" fillId="0" borderId="0" xfId="0" applyFont="1" applyAlignment="1">
      <alignment horizontal="center" vertical="center"/>
    </xf>
    <xf numFmtId="0" fontId="21" fillId="0" borderId="10" xfId="0" applyFont="1" applyBorder="1" applyAlignment="1">
      <alignment horizontal="center" vertical="center"/>
    </xf>
    <xf numFmtId="0" fontId="21" fillId="3" borderId="9" xfId="3" applyFont="1" applyFill="1" applyBorder="1" applyAlignment="1" applyProtection="1">
      <alignment horizontal="left" vertical="center"/>
      <protection hidden="1"/>
    </xf>
    <xf numFmtId="168" fontId="19" fillId="0" borderId="10" xfId="1" applyNumberFormat="1" applyFont="1" applyFill="1" applyBorder="1" applyAlignment="1">
      <alignment vertical="center"/>
    </xf>
    <xf numFmtId="168" fontId="19" fillId="0" borderId="0" xfId="1" applyNumberFormat="1" applyFont="1" applyAlignment="1">
      <alignment vertical="center"/>
    </xf>
    <xf numFmtId="0" fontId="21" fillId="0" borderId="1" xfId="0" applyFont="1" applyBorder="1" applyAlignment="1">
      <alignment horizontal="center" vertical="center"/>
    </xf>
    <xf numFmtId="168" fontId="20" fillId="0" borderId="0" xfId="1" applyNumberFormat="1" applyFont="1" applyAlignment="1">
      <alignment vertical="center"/>
    </xf>
    <xf numFmtId="0" fontId="11" fillId="0" borderId="1" xfId="0" applyFont="1" applyBorder="1" applyAlignment="1">
      <alignment horizontal="center" vertical="center"/>
    </xf>
    <xf numFmtId="168" fontId="11" fillId="0" borderId="1" xfId="1" applyNumberFormat="1" applyFont="1" applyFill="1" applyBorder="1" applyAlignment="1">
      <alignment vertical="center"/>
    </xf>
    <xf numFmtId="168" fontId="21" fillId="0" borderId="1" xfId="1" applyNumberFormat="1" applyFont="1" applyFill="1" applyBorder="1" applyAlignment="1">
      <alignment vertical="center"/>
    </xf>
    <xf numFmtId="165" fontId="28" fillId="0" borderId="1" xfId="1" applyNumberFormat="1" applyFont="1" applyFill="1" applyBorder="1" applyAlignment="1" applyProtection="1">
      <alignment horizontal="right" vertical="center" wrapText="1"/>
      <protection hidden="1"/>
    </xf>
    <xf numFmtId="165" fontId="29" fillId="0" borderId="1" xfId="1" applyNumberFormat="1" applyFont="1" applyFill="1" applyBorder="1" applyAlignment="1" applyProtection="1">
      <alignment horizontal="right" vertical="center" wrapText="1"/>
      <protection hidden="1"/>
    </xf>
    <xf numFmtId="168" fontId="15" fillId="2" borderId="1" xfId="1" applyNumberFormat="1" applyFont="1" applyFill="1" applyBorder="1" applyAlignment="1">
      <alignment horizontal="right" vertical="center"/>
    </xf>
    <xf numFmtId="0" fontId="14" fillId="0" borderId="1" xfId="0" applyFont="1" applyBorder="1" applyAlignment="1">
      <alignment horizontal="center" vertical="center"/>
    </xf>
    <xf numFmtId="171" fontId="14" fillId="0" borderId="1" xfId="0" applyNumberFormat="1" applyFont="1" applyBorder="1" applyAlignment="1">
      <alignment horizontal="right" vertical="center"/>
    </xf>
    <xf numFmtId="0" fontId="15" fillId="0" borderId="10" xfId="0" applyFont="1" applyBorder="1" applyAlignment="1">
      <alignment horizontal="center" vertical="center"/>
    </xf>
    <xf numFmtId="171" fontId="15" fillId="0" borderId="10" xfId="0" applyNumberFormat="1" applyFont="1" applyBorder="1" applyAlignment="1">
      <alignment horizontal="right" vertical="center"/>
    </xf>
    <xf numFmtId="0" fontId="8" fillId="0" borderId="0" xfId="0" applyFont="1" applyAlignment="1">
      <alignment vertical="center"/>
    </xf>
    <xf numFmtId="0" fontId="6" fillId="0" borderId="0" xfId="0" applyFont="1" applyAlignment="1">
      <alignment vertical="center"/>
    </xf>
    <xf numFmtId="9" fontId="8" fillId="0" borderId="0" xfId="0" applyNumberFormat="1" applyFont="1" applyAlignment="1">
      <alignment horizontal="center" vertical="center"/>
    </xf>
    <xf numFmtId="0" fontId="6" fillId="0" borderId="0" xfId="0" applyFont="1" applyAlignment="1">
      <alignment horizontal="center" vertical="center" wrapText="1"/>
    </xf>
    <xf numFmtId="9" fontId="15" fillId="0" borderId="1" xfId="1" applyNumberFormat="1" applyFont="1" applyBorder="1" applyAlignment="1">
      <alignment vertical="center"/>
    </xf>
    <xf numFmtId="168" fontId="14" fillId="0" borderId="0" xfId="0" applyNumberFormat="1"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14" fillId="0" borderId="0" xfId="0" applyFont="1" applyAlignment="1">
      <alignment horizontal="center" vertical="center" wrapText="1"/>
    </xf>
    <xf numFmtId="168" fontId="7" fillId="0" borderId="0" xfId="1" applyNumberFormat="1" applyFont="1" applyFill="1" applyBorder="1" applyAlignment="1">
      <alignment horizontal="center" vertical="center" wrapText="1"/>
    </xf>
    <xf numFmtId="168" fontId="14" fillId="0" borderId="0" xfId="0" applyNumberFormat="1" applyFont="1" applyAlignment="1">
      <alignment horizontal="center" vertical="center" wrapText="1"/>
    </xf>
    <xf numFmtId="9" fontId="21" fillId="0" borderId="1" xfId="2" applyFont="1" applyBorder="1" applyAlignment="1">
      <alignment horizontal="center" vertical="center"/>
    </xf>
    <xf numFmtId="9" fontId="21" fillId="0" borderId="1" xfId="2" applyFont="1" applyBorder="1" applyAlignment="1">
      <alignment horizontal="center" vertical="center" wrapText="1"/>
    </xf>
    <xf numFmtId="168" fontId="21" fillId="0" borderId="1" xfId="1" applyNumberFormat="1" applyFont="1" applyBorder="1" applyAlignment="1">
      <alignment vertical="center"/>
    </xf>
    <xf numFmtId="171" fontId="21" fillId="0" borderId="1" xfId="0" applyNumberFormat="1" applyFont="1" applyBorder="1" applyAlignment="1">
      <alignment vertical="center"/>
    </xf>
    <xf numFmtId="0" fontId="15" fillId="12" borderId="1" xfId="0" applyFont="1" applyFill="1" applyBorder="1" applyAlignment="1">
      <alignment vertical="center"/>
    </xf>
    <xf numFmtId="9" fontId="15" fillId="12" borderId="1" xfId="0" applyNumberFormat="1" applyFont="1" applyFill="1" applyBorder="1" applyAlignment="1">
      <alignment horizontal="center" vertical="center"/>
    </xf>
    <xf numFmtId="14" fontId="15" fillId="12" borderId="1" xfId="0" applyNumberFormat="1" applyFont="1" applyFill="1" applyBorder="1" applyAlignment="1">
      <alignment horizontal="center" vertical="center"/>
    </xf>
    <xf numFmtId="168" fontId="14" fillId="12" borderId="1" xfId="1" applyNumberFormat="1" applyFont="1" applyFill="1" applyBorder="1" applyAlignment="1">
      <alignment vertical="center"/>
    </xf>
    <xf numFmtId="171" fontId="14" fillId="12" borderId="1" xfId="0" applyNumberFormat="1" applyFont="1" applyFill="1" applyBorder="1" applyAlignment="1">
      <alignment vertical="center"/>
    </xf>
    <xf numFmtId="168" fontId="19" fillId="0" borderId="0" xfId="1" applyNumberFormat="1" applyFont="1" applyFill="1" applyBorder="1" applyAlignment="1">
      <alignment vertical="center"/>
    </xf>
    <xf numFmtId="171" fontId="19" fillId="0" borderId="0" xfId="0" applyNumberFormat="1" applyFont="1" applyAlignment="1">
      <alignment vertical="center"/>
    </xf>
    <xf numFmtId="171" fontId="14" fillId="13" borderId="1" xfId="0" applyNumberFormat="1" applyFont="1" applyFill="1" applyBorder="1" applyAlignment="1">
      <alignment horizontal="center" vertical="center" wrapText="1"/>
    </xf>
    <xf numFmtId="9" fontId="15" fillId="0" borderId="1" xfId="1" applyNumberFormat="1" applyFont="1" applyBorder="1" applyAlignment="1">
      <alignment horizontal="center" vertical="center" wrapText="1"/>
    </xf>
    <xf numFmtId="0" fontId="18" fillId="0" borderId="3" xfId="0" applyFont="1" applyBorder="1" applyAlignment="1">
      <alignment horizontal="center" vertical="center"/>
    </xf>
    <xf numFmtId="0" fontId="18" fillId="0" borderId="9" xfId="0" applyFont="1" applyBorder="1" applyAlignment="1">
      <alignment horizontal="center" vertical="center"/>
    </xf>
    <xf numFmtId="14" fontId="15" fillId="2" borderId="1" xfId="6" applyNumberFormat="1" applyFont="1" applyFill="1" applyBorder="1" applyAlignment="1" applyProtection="1">
      <alignment horizontal="center" vertical="center"/>
      <protection hidden="1"/>
    </xf>
    <xf numFmtId="14" fontId="15" fillId="2" borderId="3" xfId="1" applyNumberFormat="1" applyFont="1" applyFill="1" applyBorder="1" applyAlignment="1" applyProtection="1">
      <alignment horizontal="center" vertical="center"/>
      <protection hidden="1"/>
    </xf>
    <xf numFmtId="0" fontId="14" fillId="6" borderId="9" xfId="0" applyFont="1" applyFill="1" applyBorder="1" applyAlignment="1">
      <alignment vertical="center"/>
    </xf>
    <xf numFmtId="0" fontId="14" fillId="6" borderId="2" xfId="0" applyFont="1" applyFill="1" applyBorder="1" applyAlignment="1">
      <alignment vertical="center"/>
    </xf>
    <xf numFmtId="0" fontId="14" fillId="2" borderId="1" xfId="0" applyFont="1" applyFill="1" applyBorder="1" applyAlignment="1">
      <alignment horizontal="left" vertical="center"/>
    </xf>
    <xf numFmtId="0" fontId="15" fillId="8" borderId="1" xfId="0" applyFont="1" applyFill="1" applyBorder="1" applyAlignment="1">
      <alignment horizontal="left" vertical="center"/>
    </xf>
    <xf numFmtId="0" fontId="23" fillId="0" borderId="0" xfId="0" applyFont="1" applyAlignment="1">
      <alignment vertical="center"/>
    </xf>
    <xf numFmtId="9" fontId="19" fillId="0" borderId="0" xfId="0" applyNumberFormat="1" applyFont="1" applyAlignment="1">
      <alignment vertical="center"/>
    </xf>
    <xf numFmtId="168" fontId="20" fillId="2" borderId="10" xfId="1" applyNumberFormat="1" applyFont="1" applyFill="1" applyBorder="1" applyAlignment="1">
      <alignment vertical="center"/>
    </xf>
    <xf numFmtId="0" fontId="14" fillId="6" borderId="2"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10" xfId="0" applyFont="1" applyFill="1" applyBorder="1" applyAlignment="1">
      <alignment horizontal="center" vertical="center" wrapText="1"/>
    </xf>
    <xf numFmtId="165" fontId="15" fillId="0" borderId="1" xfId="1" applyNumberFormat="1" applyFont="1" applyFill="1" applyBorder="1" applyAlignment="1" applyProtection="1">
      <alignment horizontal="right" vertical="center" wrapText="1"/>
      <protection hidden="1"/>
    </xf>
    <xf numFmtId="165" fontId="14" fillId="0" borderId="0" xfId="1" applyNumberFormat="1" applyFont="1" applyAlignment="1">
      <alignment vertical="center"/>
    </xf>
    <xf numFmtId="0" fontId="14" fillId="0" borderId="0" xfId="0" applyFont="1" applyAlignment="1">
      <alignment vertical="center"/>
    </xf>
    <xf numFmtId="14" fontId="23" fillId="0" borderId="0" xfId="0" applyNumberFormat="1" applyFont="1" applyAlignment="1">
      <alignment vertical="center"/>
    </xf>
    <xf numFmtId="165" fontId="15" fillId="2" borderId="1" xfId="1" applyNumberFormat="1" applyFont="1" applyFill="1" applyBorder="1" applyAlignment="1" applyProtection="1">
      <alignment horizontal="right" vertical="center" wrapText="1"/>
      <protection hidden="1"/>
    </xf>
    <xf numFmtId="165" fontId="15" fillId="0" borderId="0" xfId="0" applyNumberFormat="1" applyFont="1" applyAlignment="1">
      <alignment vertical="center"/>
    </xf>
    <xf numFmtId="165" fontId="11" fillId="0" borderId="1" xfId="1" applyNumberFormat="1" applyFont="1" applyFill="1" applyBorder="1" applyAlignment="1" applyProtection="1">
      <alignment horizontal="right" vertical="center" wrapText="1"/>
      <protection hidden="1"/>
    </xf>
    <xf numFmtId="165" fontId="20" fillId="0" borderId="0" xfId="1" applyNumberFormat="1" applyFont="1" applyAlignment="1">
      <alignment vertical="center"/>
    </xf>
    <xf numFmtId="0" fontId="14" fillId="0" borderId="6" xfId="0" applyFont="1" applyBorder="1" applyAlignment="1">
      <alignment horizontal="center" vertical="center"/>
    </xf>
    <xf numFmtId="165" fontId="11" fillId="2" borderId="1" xfId="1" applyNumberFormat="1" applyFont="1" applyFill="1" applyBorder="1" applyAlignment="1" applyProtection="1">
      <alignment horizontal="right" vertical="center" wrapText="1"/>
      <protection hidden="1"/>
    </xf>
    <xf numFmtId="0" fontId="14" fillId="7" borderId="3" xfId="0" applyFont="1" applyFill="1" applyBorder="1" applyAlignment="1">
      <alignment horizontal="center" vertical="center"/>
    </xf>
    <xf numFmtId="0" fontId="14" fillId="7" borderId="3" xfId="0" applyFont="1" applyFill="1" applyBorder="1" applyAlignment="1">
      <alignment vertical="center"/>
    </xf>
    <xf numFmtId="0" fontId="14" fillId="7" borderId="4" xfId="0" applyFont="1" applyFill="1" applyBorder="1" applyAlignment="1">
      <alignment vertical="center"/>
    </xf>
    <xf numFmtId="0" fontId="14" fillId="11" borderId="3" xfId="0" applyFont="1" applyFill="1" applyBorder="1" applyAlignment="1">
      <alignment horizontal="center" vertical="center"/>
    </xf>
    <xf numFmtId="0" fontId="14" fillId="11" borderId="3" xfId="0" applyFont="1" applyFill="1" applyBorder="1" applyAlignment="1">
      <alignment vertical="center"/>
    </xf>
    <xf numFmtId="0" fontId="14" fillId="11" borderId="4" xfId="0" applyFont="1" applyFill="1" applyBorder="1" applyAlignment="1">
      <alignment vertical="center"/>
    </xf>
    <xf numFmtId="0" fontId="14" fillId="0" borderId="4" xfId="0" applyFont="1" applyBorder="1" applyAlignment="1">
      <alignment vertical="center"/>
    </xf>
    <xf numFmtId="0" fontId="18" fillId="0" borderId="0" xfId="0" applyFont="1" applyAlignment="1">
      <alignment vertical="center"/>
    </xf>
    <xf numFmtId="9" fontId="18" fillId="0" borderId="0" xfId="0" applyNumberFormat="1" applyFont="1" applyAlignment="1">
      <alignment horizontal="center" vertical="center"/>
    </xf>
    <xf numFmtId="0" fontId="14" fillId="0" borderId="1" xfId="6" applyFont="1" applyBorder="1" applyAlignment="1" applyProtection="1">
      <alignment horizontal="left" vertical="center"/>
      <protection hidden="1"/>
    </xf>
    <xf numFmtId="14" fontId="15" fillId="3" borderId="3" xfId="6" applyNumberFormat="1" applyFont="1" applyFill="1" applyBorder="1" applyAlignment="1" applyProtection="1">
      <alignment horizontal="center" vertical="center"/>
      <protection hidden="1"/>
    </xf>
    <xf numFmtId="9" fontId="14" fillId="5" borderId="1" xfId="2" applyFont="1" applyFill="1" applyBorder="1" applyAlignment="1" applyProtection="1">
      <alignment horizontal="center" vertical="center"/>
      <protection hidden="1"/>
    </xf>
    <xf numFmtId="169" fontId="14" fillId="5" borderId="1" xfId="6" applyNumberFormat="1" applyFont="1" applyFill="1" applyBorder="1" applyAlignment="1" applyProtection="1">
      <alignment vertical="center"/>
      <protection hidden="1"/>
    </xf>
    <xf numFmtId="165" fontId="19" fillId="0" borderId="0" xfId="1" applyNumberFormat="1" applyFont="1" applyAlignment="1">
      <alignment vertical="center"/>
    </xf>
    <xf numFmtId="0" fontId="15" fillId="0" borderId="8" xfId="0" applyFont="1" applyBorder="1" applyAlignment="1">
      <alignment horizontal="center" vertical="center"/>
    </xf>
    <xf numFmtId="0" fontId="15" fillId="0" borderId="8" xfId="0" applyFont="1" applyBorder="1" applyAlignment="1">
      <alignment vertical="center"/>
    </xf>
    <xf numFmtId="165" fontId="15" fillId="0" borderId="1" xfId="1" applyNumberFormat="1" applyFont="1" applyBorder="1" applyAlignment="1">
      <alignment vertical="center"/>
    </xf>
    <xf numFmtId="169" fontId="15" fillId="0" borderId="0" xfId="0" applyNumberFormat="1" applyFont="1" applyAlignment="1">
      <alignment vertical="center"/>
    </xf>
    <xf numFmtId="0" fontId="14" fillId="11" borderId="9" xfId="0" applyFont="1" applyFill="1" applyBorder="1" applyAlignment="1">
      <alignment horizontal="center" vertical="center"/>
    </xf>
    <xf numFmtId="0" fontId="14" fillId="11" borderId="9" xfId="0" applyFont="1" applyFill="1" applyBorder="1" applyAlignment="1">
      <alignment vertical="center"/>
    </xf>
    <xf numFmtId="0" fontId="14" fillId="11" borderId="2" xfId="0" applyFont="1" applyFill="1" applyBorder="1" applyAlignment="1">
      <alignment vertical="center"/>
    </xf>
    <xf numFmtId="0" fontId="14" fillId="0" borderId="2" xfId="0" applyFont="1" applyBorder="1" applyAlignment="1">
      <alignment vertical="center"/>
    </xf>
    <xf numFmtId="14" fontId="15" fillId="0" borderId="0" xfId="0" applyNumberFormat="1" applyFont="1" applyAlignment="1">
      <alignment horizontal="center" vertical="center" wrapText="1"/>
    </xf>
    <xf numFmtId="14" fontId="21" fillId="0" borderId="0" xfId="0" applyNumberFormat="1" applyFont="1" applyAlignment="1">
      <alignment vertical="center"/>
    </xf>
    <xf numFmtId="165" fontId="21" fillId="0" borderId="0" xfId="1" applyNumberFormat="1" applyFont="1" applyAlignment="1">
      <alignment vertical="center"/>
    </xf>
    <xf numFmtId="0" fontId="14" fillId="0" borderId="0" xfId="0" applyFont="1" applyAlignment="1">
      <alignment horizontal="center" vertical="center"/>
    </xf>
    <xf numFmtId="0" fontId="15" fillId="4" borderId="3" xfId="0" applyFont="1" applyFill="1" applyBorder="1" applyAlignment="1">
      <alignment vertical="center"/>
    </xf>
    <xf numFmtId="0" fontId="15" fillId="0" borderId="6" xfId="0" applyFont="1" applyBorder="1" applyAlignment="1">
      <alignment vertical="center"/>
    </xf>
    <xf numFmtId="168" fontId="14" fillId="4" borderId="1" xfId="1" applyNumberFormat="1" applyFont="1" applyFill="1" applyBorder="1" applyAlignment="1">
      <alignment vertical="center"/>
    </xf>
    <xf numFmtId="172" fontId="15" fillId="0" borderId="0" xfId="0" applyNumberFormat="1" applyFont="1" applyAlignment="1">
      <alignment vertical="center"/>
    </xf>
    <xf numFmtId="14" fontId="11" fillId="2" borderId="1" xfId="0" applyNumberFormat="1" applyFont="1" applyFill="1" applyBorder="1" applyAlignment="1">
      <alignment horizontal="left" vertical="center"/>
    </xf>
    <xf numFmtId="168" fontId="27" fillId="9" borderId="6" xfId="1" applyNumberFormat="1" applyFont="1" applyFill="1" applyBorder="1" applyAlignment="1">
      <alignment vertical="center"/>
    </xf>
    <xf numFmtId="167" fontId="30" fillId="2" borderId="1" xfId="2" applyNumberFormat="1" applyFont="1" applyFill="1" applyBorder="1" applyAlignment="1">
      <alignment vertical="center"/>
    </xf>
    <xf numFmtId="0" fontId="30" fillId="0" borderId="0" xfId="0" applyFont="1" applyAlignment="1">
      <alignment horizontal="center" vertical="center"/>
    </xf>
    <xf numFmtId="0" fontId="30" fillId="0" borderId="0" xfId="0" applyFont="1" applyAlignment="1">
      <alignment vertical="center"/>
    </xf>
    <xf numFmtId="14" fontId="30" fillId="0" borderId="0" xfId="0" applyNumberFormat="1" applyFont="1" applyAlignment="1">
      <alignment vertical="center"/>
    </xf>
    <xf numFmtId="0" fontId="30" fillId="0" borderId="0" xfId="0" applyFont="1" applyAlignment="1">
      <alignment horizontal="center" vertical="center" wrapText="1"/>
    </xf>
    <xf numFmtId="0" fontId="31" fillId="0" borderId="0" xfId="0" applyFont="1" applyAlignment="1">
      <alignment horizontal="center" vertical="center"/>
    </xf>
    <xf numFmtId="0" fontId="31" fillId="0" borderId="0" xfId="0" applyFont="1" applyAlignment="1">
      <alignment vertical="center"/>
    </xf>
    <xf numFmtId="10" fontId="31" fillId="0" borderId="0" xfId="0" applyNumberFormat="1" applyFont="1" applyAlignment="1">
      <alignment vertical="center"/>
    </xf>
    <xf numFmtId="0" fontId="31" fillId="0" borderId="0" xfId="0" applyFont="1" applyAlignment="1">
      <alignment horizontal="center" vertical="center" wrapText="1"/>
    </xf>
    <xf numFmtId="10" fontId="30" fillId="0" borderId="0" xfId="0" applyNumberFormat="1" applyFont="1" applyAlignment="1">
      <alignment vertical="center"/>
    </xf>
    <xf numFmtId="167" fontId="30" fillId="0" borderId="1" xfId="2" applyNumberFormat="1" applyFont="1" applyFill="1" applyBorder="1" applyAlignment="1">
      <alignment vertical="center"/>
    </xf>
    <xf numFmtId="0" fontId="30" fillId="0" borderId="0" xfId="0" applyFont="1" applyAlignment="1">
      <alignment horizontal="left" vertical="center"/>
    </xf>
    <xf numFmtId="14" fontId="31" fillId="0" borderId="0" xfId="0" applyNumberFormat="1" applyFont="1" applyAlignment="1">
      <alignment vertical="center"/>
    </xf>
    <xf numFmtId="168" fontId="30" fillId="0" borderId="1" xfId="1" applyNumberFormat="1" applyFont="1" applyFill="1" applyBorder="1" applyAlignment="1">
      <alignment vertical="center"/>
    </xf>
    <xf numFmtId="0" fontId="30" fillId="0" borderId="1" xfId="0" applyFont="1" applyBorder="1" applyAlignment="1">
      <alignment horizontal="center" vertical="center"/>
    </xf>
    <xf numFmtId="10" fontId="30" fillId="2" borderId="1" xfId="2" applyNumberFormat="1" applyFont="1" applyFill="1" applyBorder="1" applyAlignment="1">
      <alignment vertical="center"/>
    </xf>
    <xf numFmtId="0" fontId="30" fillId="2" borderId="1" xfId="2" applyNumberFormat="1" applyFont="1" applyFill="1" applyBorder="1" applyAlignment="1">
      <alignment vertical="center"/>
    </xf>
    <xf numFmtId="0" fontId="31" fillId="0" borderId="1" xfId="0" applyFont="1" applyBorder="1" applyAlignment="1">
      <alignment horizontal="center" vertical="center"/>
    </xf>
    <xf numFmtId="168" fontId="30" fillId="0" borderId="0" xfId="1" applyNumberFormat="1" applyFont="1" applyAlignment="1">
      <alignment vertical="center"/>
    </xf>
    <xf numFmtId="0" fontId="30" fillId="3" borderId="9" xfId="3" applyFont="1" applyFill="1" applyBorder="1" applyAlignment="1" applyProtection="1">
      <alignment horizontal="left" vertical="center"/>
      <protection hidden="1"/>
    </xf>
    <xf numFmtId="168" fontId="21" fillId="9" borderId="1" xfId="0" applyNumberFormat="1" applyFont="1" applyFill="1" applyBorder="1" applyAlignment="1">
      <alignment horizontal="center" vertical="center" wrapText="1"/>
    </xf>
    <xf numFmtId="0" fontId="14" fillId="13" borderId="6" xfId="0" applyFont="1" applyFill="1" applyBorder="1" applyAlignment="1">
      <alignment horizontal="center" vertical="center"/>
    </xf>
    <xf numFmtId="0" fontId="14" fillId="0" borderId="1" xfId="0" applyFont="1" applyBorder="1" applyAlignment="1">
      <alignment horizontal="left" vertical="center"/>
    </xf>
    <xf numFmtId="171" fontId="18" fillId="0" borderId="0" xfId="0" applyNumberFormat="1" applyFont="1" applyAlignment="1">
      <alignment vertical="center"/>
    </xf>
    <xf numFmtId="14" fontId="21" fillId="2" borderId="1" xfId="0" applyNumberFormat="1" applyFont="1" applyFill="1" applyBorder="1" applyAlignment="1">
      <alignment horizontal="center" vertical="center"/>
    </xf>
    <xf numFmtId="0" fontId="21" fillId="0" borderId="1" xfId="0" applyFont="1" applyBorder="1" applyAlignment="1">
      <alignment vertical="center"/>
    </xf>
    <xf numFmtId="168" fontId="21" fillId="0" borderId="1" xfId="0" applyNumberFormat="1" applyFont="1" applyBorder="1" applyAlignment="1">
      <alignment vertical="center"/>
    </xf>
    <xf numFmtId="171" fontId="21" fillId="0" borderId="1" xfId="0" applyNumberFormat="1" applyFont="1" applyBorder="1" applyAlignment="1">
      <alignment horizontal="right" vertical="center"/>
    </xf>
    <xf numFmtId="0" fontId="21" fillId="0" borderId="6" xfId="0" applyFont="1" applyBorder="1" applyAlignment="1">
      <alignment vertical="center"/>
    </xf>
    <xf numFmtId="171" fontId="21" fillId="0" borderId="6" xfId="0" applyNumberFormat="1" applyFont="1" applyBorder="1" applyAlignment="1">
      <alignment vertical="center"/>
    </xf>
    <xf numFmtId="0" fontId="20" fillId="2" borderId="1" xfId="2" applyNumberFormat="1" applyFont="1" applyFill="1" applyBorder="1" applyAlignment="1">
      <alignment vertical="center"/>
    </xf>
    <xf numFmtId="0" fontId="20" fillId="0" borderId="0" xfId="0" applyFont="1" applyAlignment="1">
      <alignment horizontal="left" vertical="center"/>
    </xf>
    <xf numFmtId="10" fontId="20" fillId="2" borderId="1" xfId="2" applyNumberFormat="1" applyFont="1" applyFill="1" applyBorder="1" applyAlignment="1">
      <alignment vertical="center"/>
    </xf>
    <xf numFmtId="0" fontId="15" fillId="6" borderId="1" xfId="0" applyFont="1" applyFill="1" applyBorder="1" applyAlignment="1">
      <alignment horizontal="center" vertical="center"/>
    </xf>
    <xf numFmtId="165" fontId="15" fillId="9" borderId="1" xfId="0" applyNumberFormat="1" applyFont="1" applyFill="1" applyBorder="1" applyAlignment="1">
      <alignment vertical="center"/>
    </xf>
    <xf numFmtId="169" fontId="19" fillId="0" borderId="0" xfId="0" applyNumberFormat="1" applyFont="1" applyAlignment="1">
      <alignment vertical="center"/>
    </xf>
    <xf numFmtId="3" fontId="32" fillId="0" borderId="15" xfId="0" applyNumberFormat="1" applyFont="1" applyBorder="1" applyAlignment="1">
      <alignment horizontal="center" vertical="top" shrinkToFit="1"/>
    </xf>
    <xf numFmtId="173" fontId="0" fillId="0" borderId="1" xfId="1" applyNumberFormat="1" applyFont="1" applyBorder="1"/>
    <xf numFmtId="168" fontId="0" fillId="0" borderId="1" xfId="1" applyNumberFormat="1" applyFont="1" applyBorder="1"/>
    <xf numFmtId="168" fontId="15" fillId="2" borderId="1" xfId="1" applyNumberFormat="1" applyFont="1" applyFill="1" applyBorder="1" applyAlignment="1">
      <alignment horizontal="left" vertical="center"/>
    </xf>
    <xf numFmtId="0" fontId="0" fillId="0" borderId="1" xfId="0" applyBorder="1"/>
    <xf numFmtId="14" fontId="0" fillId="0" borderId="1" xfId="0" applyNumberFormat="1" applyBorder="1"/>
    <xf numFmtId="0" fontId="15" fillId="2" borderId="1" xfId="0" applyFont="1" applyFill="1" applyBorder="1" applyAlignment="1">
      <alignment horizontal="center" vertical="center"/>
    </xf>
    <xf numFmtId="3" fontId="0" fillId="0" borderId="1" xfId="0" applyNumberFormat="1" applyBorder="1"/>
    <xf numFmtId="14" fontId="35" fillId="0" borderId="0" xfId="0" applyNumberFormat="1" applyFont="1"/>
    <xf numFmtId="41" fontId="0" fillId="0" borderId="0" xfId="7" applyFont="1"/>
    <xf numFmtId="168" fontId="19" fillId="13" borderId="10" xfId="1" applyNumberFormat="1" applyFont="1" applyFill="1" applyBorder="1" applyAlignment="1">
      <alignment vertical="center"/>
    </xf>
    <xf numFmtId="0" fontId="30" fillId="0" borderId="10" xfId="0" applyFont="1" applyBorder="1" applyAlignment="1">
      <alignment horizontal="center" vertical="center"/>
    </xf>
    <xf numFmtId="0" fontId="20" fillId="3" borderId="3" xfId="3" applyFont="1" applyFill="1" applyBorder="1" applyAlignment="1" applyProtection="1">
      <alignment horizontal="left" vertical="center"/>
      <protection hidden="1"/>
    </xf>
    <xf numFmtId="0" fontId="20" fillId="3" borderId="4" xfId="3" applyFont="1" applyFill="1" applyBorder="1" applyAlignment="1" applyProtection="1">
      <alignment horizontal="left" vertical="center"/>
      <protection hidden="1"/>
    </xf>
    <xf numFmtId="0" fontId="20" fillId="3" borderId="5" xfId="3" applyFont="1" applyFill="1" applyBorder="1" applyAlignment="1" applyProtection="1">
      <alignment horizontal="left" vertical="center"/>
      <protection hidden="1"/>
    </xf>
    <xf numFmtId="0" fontId="22" fillId="0" borderId="0" xfId="0" applyFont="1" applyAlignment="1">
      <alignment horizontal="center" vertical="center" wrapText="1"/>
    </xf>
    <xf numFmtId="0" fontId="14" fillId="0" borderId="0" xfId="0" applyFont="1" applyAlignment="1">
      <alignment horizontal="center" vertical="center" wrapText="1"/>
    </xf>
    <xf numFmtId="0" fontId="14" fillId="6" borderId="3" xfId="0" applyFont="1" applyFill="1" applyBorder="1" applyAlignment="1">
      <alignment horizontal="left" vertical="center"/>
    </xf>
    <xf numFmtId="0" fontId="14" fillId="6" borderId="4" xfId="0" applyFont="1" applyFill="1" applyBorder="1" applyAlignment="1">
      <alignment horizontal="left" vertical="center"/>
    </xf>
    <xf numFmtId="0" fontId="14" fillId="6" borderId="5" xfId="0" applyFont="1" applyFill="1" applyBorder="1" applyAlignment="1">
      <alignment horizontal="left" vertical="center"/>
    </xf>
    <xf numFmtId="0" fontId="15" fillId="3" borderId="3" xfId="3" applyFont="1" applyFill="1" applyBorder="1" applyAlignment="1" applyProtection="1">
      <alignment horizontal="left" vertical="center"/>
      <protection hidden="1"/>
    </xf>
    <xf numFmtId="0" fontId="15" fillId="3" borderId="4" xfId="3" applyFont="1" applyFill="1" applyBorder="1" applyAlignment="1" applyProtection="1">
      <alignment horizontal="left" vertical="center"/>
      <protection hidden="1"/>
    </xf>
    <xf numFmtId="0" fontId="15" fillId="3" borderId="5" xfId="3" applyFont="1" applyFill="1" applyBorder="1" applyAlignment="1" applyProtection="1">
      <alignment horizontal="left" vertical="center"/>
      <protection hidden="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9" fillId="0" borderId="6" xfId="0" applyFont="1" applyBorder="1" applyAlignment="1">
      <alignment horizontal="center" vertical="center"/>
    </xf>
    <xf numFmtId="0" fontId="19" fillId="0" borderId="12" xfId="0" applyFont="1" applyBorder="1" applyAlignment="1">
      <alignment horizontal="center" vertical="center"/>
    </xf>
    <xf numFmtId="0" fontId="19" fillId="0" borderId="10" xfId="0" applyFont="1" applyBorder="1" applyAlignment="1">
      <alignment horizontal="center" vertical="center"/>
    </xf>
    <xf numFmtId="0" fontId="30" fillId="3" borderId="3" xfId="3" applyFont="1" applyFill="1" applyBorder="1" applyAlignment="1" applyProtection="1">
      <alignment horizontal="left" vertical="center"/>
      <protection hidden="1"/>
    </xf>
    <xf numFmtId="0" fontId="30" fillId="3" borderId="4" xfId="3" applyFont="1" applyFill="1" applyBorder="1" applyAlignment="1" applyProtection="1">
      <alignment horizontal="left" vertical="center"/>
      <protection hidden="1"/>
    </xf>
    <xf numFmtId="0" fontId="30" fillId="3" borderId="5" xfId="3" applyFont="1" applyFill="1" applyBorder="1" applyAlignment="1" applyProtection="1">
      <alignment horizontal="left" vertical="center"/>
      <protection hidden="1"/>
    </xf>
    <xf numFmtId="0" fontId="30" fillId="0" borderId="3" xfId="0" applyFont="1" applyBorder="1" applyAlignment="1">
      <alignment horizontal="left" vertical="center"/>
    </xf>
    <xf numFmtId="0" fontId="30" fillId="0" borderId="4" xfId="0" applyFont="1" applyBorder="1" applyAlignment="1">
      <alignment horizontal="left" vertical="center"/>
    </xf>
    <xf numFmtId="0" fontId="30" fillId="0" borderId="5" xfId="0" applyFont="1" applyBorder="1" applyAlignment="1">
      <alignment horizontal="left" vertical="center"/>
    </xf>
    <xf numFmtId="0" fontId="30" fillId="0" borderId="12" xfId="0" applyFont="1" applyBorder="1" applyAlignment="1">
      <alignment horizontal="center" vertical="center"/>
    </xf>
    <xf numFmtId="0" fontId="30" fillId="0" borderId="10" xfId="0" applyFont="1" applyBorder="1" applyAlignment="1">
      <alignment horizontal="center" vertical="center"/>
    </xf>
    <xf numFmtId="0" fontId="15" fillId="0" borderId="3" xfId="3" applyFont="1" applyBorder="1" applyAlignment="1" applyProtection="1">
      <alignment horizontal="left" vertical="center"/>
      <protection hidden="1"/>
    </xf>
    <xf numFmtId="0" fontId="15" fillId="0" borderId="4" xfId="3" applyFont="1" applyBorder="1" applyAlignment="1" applyProtection="1">
      <alignment horizontal="left" vertical="center"/>
      <protection hidden="1"/>
    </xf>
    <xf numFmtId="0" fontId="15" fillId="0" borderId="5" xfId="3" applyFont="1" applyBorder="1" applyAlignment="1" applyProtection="1">
      <alignment horizontal="left" vertical="center"/>
      <protection hidden="1"/>
    </xf>
    <xf numFmtId="0" fontId="15" fillId="0" borderId="3" xfId="6" applyFont="1" applyBorder="1" applyAlignment="1" applyProtection="1">
      <alignment horizontal="left" vertical="center" wrapText="1"/>
      <protection hidden="1"/>
    </xf>
    <xf numFmtId="0" fontId="15" fillId="0" borderId="4" xfId="6" applyFont="1" applyBorder="1" applyAlignment="1" applyProtection="1">
      <alignment horizontal="left" vertical="center" wrapText="1"/>
      <protection hidden="1"/>
    </xf>
    <xf numFmtId="0" fontId="15" fillId="0" borderId="5" xfId="6" applyFont="1" applyBorder="1" applyAlignment="1" applyProtection="1">
      <alignment horizontal="left" vertical="center" wrapText="1"/>
      <protection hidden="1"/>
    </xf>
    <xf numFmtId="0" fontId="34" fillId="8" borderId="3" xfId="6" applyFont="1" applyFill="1" applyBorder="1" applyAlignment="1" applyProtection="1">
      <alignment horizontal="left" vertical="center" wrapText="1"/>
      <protection hidden="1"/>
    </xf>
    <xf numFmtId="0" fontId="34" fillId="8" borderId="5" xfId="6" applyFont="1" applyFill="1" applyBorder="1" applyAlignment="1" applyProtection="1">
      <alignment horizontal="left" vertical="center" wrapText="1"/>
      <protection hidden="1"/>
    </xf>
    <xf numFmtId="0" fontId="14" fillId="0" borderId="7" xfId="3" applyFont="1" applyBorder="1" applyAlignment="1" applyProtection="1">
      <alignment horizontal="left" vertical="center"/>
      <protection hidden="1"/>
    </xf>
    <xf numFmtId="0" fontId="14" fillId="0" borderId="8" xfId="3" applyFont="1" applyBorder="1" applyAlignment="1" applyProtection="1">
      <alignment horizontal="left" vertical="center"/>
      <protection hidden="1"/>
    </xf>
    <xf numFmtId="0" fontId="14" fillId="0" borderId="3" xfId="3" applyFont="1" applyBorder="1" applyAlignment="1" applyProtection="1">
      <alignment horizontal="left" vertical="center"/>
      <protection hidden="1"/>
    </xf>
    <xf numFmtId="0" fontId="14" fillId="0" borderId="4" xfId="3" applyFont="1" applyBorder="1" applyAlignment="1" applyProtection="1">
      <alignment horizontal="left" vertical="center"/>
      <protection hidden="1"/>
    </xf>
    <xf numFmtId="0" fontId="14" fillId="0" borderId="5" xfId="3" applyFont="1" applyBorder="1" applyAlignment="1" applyProtection="1">
      <alignment horizontal="left" vertical="center"/>
      <protection hidden="1"/>
    </xf>
    <xf numFmtId="0" fontId="15" fillId="10" borderId="3" xfId="0" applyFont="1" applyFill="1" applyBorder="1" applyAlignment="1">
      <alignment horizontal="left" vertical="center"/>
    </xf>
    <xf numFmtId="0" fontId="15" fillId="10" borderId="4" xfId="0" applyFont="1" applyFill="1" applyBorder="1" applyAlignment="1">
      <alignment horizontal="left" vertical="center"/>
    </xf>
    <xf numFmtId="0" fontId="15" fillId="10" borderId="5" xfId="0" applyFont="1" applyFill="1" applyBorder="1" applyAlignment="1">
      <alignment horizontal="left" vertical="center"/>
    </xf>
    <xf numFmtId="0" fontId="15" fillId="0" borderId="1" xfId="3" applyFont="1" applyBorder="1" applyAlignment="1" applyProtection="1">
      <alignment horizontal="left" vertical="center"/>
      <protection hidden="1"/>
    </xf>
    <xf numFmtId="0" fontId="15" fillId="0" borderId="4" xfId="0" applyFont="1" applyBorder="1" applyAlignment="1">
      <alignment horizontal="center" vertical="center"/>
    </xf>
    <xf numFmtId="0" fontId="14" fillId="5" borderId="3" xfId="6" applyFont="1" applyFill="1" applyBorder="1" applyAlignment="1" applyProtection="1">
      <alignment horizontal="center" vertical="center"/>
      <protection hidden="1"/>
    </xf>
    <xf numFmtId="0" fontId="14" fillId="5" borderId="4" xfId="6" applyFont="1" applyFill="1" applyBorder="1" applyAlignment="1" applyProtection="1">
      <alignment horizontal="center" vertical="center"/>
      <protection hidden="1"/>
    </xf>
    <xf numFmtId="0" fontId="14" fillId="5" borderId="5" xfId="6" applyFont="1" applyFill="1" applyBorder="1" applyAlignment="1" applyProtection="1">
      <alignment horizontal="center" vertical="center"/>
      <protection hidden="1"/>
    </xf>
    <xf numFmtId="0" fontId="14" fillId="0" borderId="6" xfId="0" applyFont="1" applyBorder="1" applyAlignment="1">
      <alignment horizontal="center" vertical="center"/>
    </xf>
    <xf numFmtId="0" fontId="14" fillId="0" borderId="10" xfId="0" applyFont="1" applyBorder="1" applyAlignment="1">
      <alignment horizontal="center" vertical="center"/>
    </xf>
    <xf numFmtId="0" fontId="14" fillId="0" borderId="3" xfId="6" applyFont="1" applyBorder="1" applyAlignment="1" applyProtection="1">
      <alignment horizontal="left" vertical="center" wrapText="1"/>
      <protection hidden="1"/>
    </xf>
    <xf numFmtId="0" fontId="14" fillId="0" borderId="4" xfId="6" applyFont="1" applyBorder="1" applyAlignment="1" applyProtection="1">
      <alignment horizontal="left" vertical="center" wrapText="1"/>
      <protection hidden="1"/>
    </xf>
    <xf numFmtId="0" fontId="14" fillId="0" borderId="5" xfId="6" applyFont="1" applyBorder="1" applyAlignment="1" applyProtection="1">
      <alignment horizontal="left" vertical="center" wrapText="1"/>
      <protection hidden="1"/>
    </xf>
    <xf numFmtId="0" fontId="14" fillId="5" borderId="1" xfId="6" applyFont="1" applyFill="1" applyBorder="1" applyAlignment="1" applyProtection="1">
      <alignment horizontal="center" vertical="center"/>
      <protection hidden="1"/>
    </xf>
    <xf numFmtId="0" fontId="14" fillId="4" borderId="3" xfId="6" applyFont="1" applyFill="1" applyBorder="1" applyAlignment="1" applyProtection="1">
      <alignment horizontal="left" vertical="center"/>
      <protection hidden="1"/>
    </xf>
    <xf numFmtId="0" fontId="14" fillId="4" borderId="4" xfId="6" applyFont="1" applyFill="1" applyBorder="1" applyAlignment="1" applyProtection="1">
      <alignment horizontal="left" vertical="center"/>
      <protection hidden="1"/>
    </xf>
    <xf numFmtId="0" fontId="14" fillId="0" borderId="0" xfId="0" applyFont="1" applyAlignment="1">
      <alignment horizontal="center" vertical="center"/>
    </xf>
    <xf numFmtId="0" fontId="15" fillId="0" borderId="0" xfId="0" applyFont="1" applyAlignment="1">
      <alignment horizontal="center" vertical="center"/>
    </xf>
    <xf numFmtId="0" fontId="14" fillId="0" borderId="0" xfId="0" applyFont="1" applyAlignment="1">
      <alignment horizontal="left"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11" fillId="3" borderId="1" xfId="3" applyFont="1" applyFill="1" applyBorder="1" applyAlignment="1" applyProtection="1">
      <alignment horizontal="left" vertical="center"/>
      <protection hidden="1"/>
    </xf>
    <xf numFmtId="0" fontId="14" fillId="6" borderId="14" xfId="0" applyFont="1" applyFill="1" applyBorder="1" applyAlignment="1">
      <alignment horizontal="center" vertical="center"/>
    </xf>
    <xf numFmtId="0" fontId="14" fillId="6" borderId="0" xfId="0" applyFont="1" applyFill="1" applyAlignment="1">
      <alignment horizontal="center" vertical="center"/>
    </xf>
    <xf numFmtId="0" fontId="14" fillId="2" borderId="1" xfId="0" applyFont="1" applyFill="1" applyBorder="1" applyAlignment="1">
      <alignment horizontal="center" vertical="center"/>
    </xf>
    <xf numFmtId="168" fontId="15" fillId="2" borderId="1" xfId="1" applyNumberFormat="1" applyFont="1" applyFill="1" applyBorder="1" applyAlignment="1">
      <alignment horizontal="center" vertical="center"/>
    </xf>
    <xf numFmtId="0" fontId="15" fillId="8" borderId="1" xfId="0" applyFont="1" applyFill="1" applyBorder="1" applyAlignment="1">
      <alignment horizontal="center" vertical="center"/>
    </xf>
    <xf numFmtId="0" fontId="20" fillId="0" borderId="6" xfId="0" applyFont="1" applyBorder="1" applyAlignment="1">
      <alignment horizontal="center" vertical="center"/>
    </xf>
    <xf numFmtId="0" fontId="20" fillId="0" borderId="12" xfId="0" applyFont="1" applyBorder="1" applyAlignment="1">
      <alignment horizontal="center" vertical="center"/>
    </xf>
    <xf numFmtId="0" fontId="20" fillId="0" borderId="10" xfId="0" applyFont="1" applyBorder="1" applyAlignment="1">
      <alignment horizontal="center"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14" fillId="13" borderId="1" xfId="0" applyFont="1" applyFill="1" applyBorder="1" applyAlignment="1">
      <alignment horizontal="left" vertical="center"/>
    </xf>
    <xf numFmtId="0" fontId="18" fillId="0" borderId="9" xfId="0" applyFont="1" applyBorder="1" applyAlignment="1">
      <alignment horizontal="left" vertical="center"/>
    </xf>
    <xf numFmtId="0" fontId="18" fillId="0" borderId="2" xfId="0" applyFont="1" applyBorder="1" applyAlignment="1">
      <alignment horizontal="left" vertical="center"/>
    </xf>
    <xf numFmtId="0" fontId="18" fillId="0" borderId="0" xfId="0" applyFont="1" applyAlignment="1">
      <alignment horizontal="left" vertical="center"/>
    </xf>
    <xf numFmtId="0" fontId="15" fillId="0" borderId="1"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6" borderId="1" xfId="0" applyFont="1" applyFill="1" applyBorder="1" applyAlignment="1">
      <alignment horizontal="left" vertical="center"/>
    </xf>
    <xf numFmtId="0" fontId="31" fillId="3" borderId="3" xfId="3" applyFont="1" applyFill="1" applyBorder="1" applyAlignment="1" applyProtection="1">
      <alignment horizontal="left" vertical="center"/>
      <protection hidden="1"/>
    </xf>
    <xf numFmtId="0" fontId="31" fillId="3" borderId="4" xfId="3" applyFont="1" applyFill="1" applyBorder="1" applyAlignment="1" applyProtection="1">
      <alignment horizontal="left" vertical="center"/>
      <protection hidden="1"/>
    </xf>
    <xf numFmtId="0" fontId="31" fillId="3" borderId="5" xfId="3" applyFont="1" applyFill="1" applyBorder="1" applyAlignment="1" applyProtection="1">
      <alignment horizontal="left" vertical="center"/>
      <protection hidden="1"/>
    </xf>
    <xf numFmtId="0" fontId="21" fillId="3" borderId="1" xfId="3" applyFont="1" applyFill="1" applyBorder="1" applyAlignment="1" applyProtection="1">
      <alignment horizontal="left" vertical="center"/>
      <protection hidden="1"/>
    </xf>
    <xf numFmtId="0" fontId="26" fillId="0" borderId="1" xfId="3" applyFont="1" applyBorder="1" applyAlignment="1" applyProtection="1">
      <alignment horizontal="left" vertical="center"/>
      <protection hidden="1"/>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26" fillId="0" borderId="5" xfId="0" applyFont="1" applyBorder="1" applyAlignment="1">
      <alignment horizontal="left" vertical="center"/>
    </xf>
    <xf numFmtId="0" fontId="24" fillId="0" borderId="7" xfId="3" applyFont="1" applyBorder="1" applyAlignment="1" applyProtection="1">
      <alignment horizontal="left" vertical="center"/>
      <protection hidden="1"/>
    </xf>
    <xf numFmtId="0" fontId="24" fillId="0" borderId="8" xfId="3" applyFont="1" applyBorder="1" applyAlignment="1" applyProtection="1">
      <alignment horizontal="left" vertical="center"/>
      <protection hidden="1"/>
    </xf>
    <xf numFmtId="0" fontId="14" fillId="6" borderId="7" xfId="0" applyFont="1" applyFill="1" applyBorder="1" applyAlignment="1">
      <alignment horizontal="left" vertical="center"/>
    </xf>
    <xf numFmtId="0" fontId="14" fillId="6" borderId="8" xfId="0" applyFont="1" applyFill="1" applyBorder="1" applyAlignment="1">
      <alignment horizontal="left" vertical="center"/>
    </xf>
    <xf numFmtId="0" fontId="14" fillId="6" borderId="13" xfId="0" applyFont="1" applyFill="1" applyBorder="1" applyAlignment="1">
      <alignment horizontal="left" vertical="center"/>
    </xf>
    <xf numFmtId="0" fontId="7" fillId="0" borderId="0" xfId="0" applyFont="1" applyAlignment="1">
      <alignment horizontal="left" vertical="center"/>
    </xf>
    <xf numFmtId="0" fontId="6" fillId="0" borderId="0" xfId="0" applyFont="1" applyAlignment="1">
      <alignment horizontal="left" vertical="center"/>
    </xf>
    <xf numFmtId="0" fontId="14" fillId="0" borderId="1" xfId="0" applyFont="1" applyBorder="1" applyAlignment="1">
      <alignment horizontal="left" vertical="center"/>
    </xf>
    <xf numFmtId="0" fontId="15" fillId="4" borderId="3" xfId="0" applyFont="1" applyFill="1" applyBorder="1" applyAlignment="1">
      <alignment horizontal="center" vertical="center"/>
    </xf>
    <xf numFmtId="0" fontId="15" fillId="4" borderId="4" xfId="0" applyFont="1" applyFill="1" applyBorder="1" applyAlignment="1">
      <alignment horizontal="center" vertical="center"/>
    </xf>
    <xf numFmtId="0" fontId="15" fillId="4" borderId="5" xfId="0" applyFont="1" applyFill="1" applyBorder="1" applyAlignment="1">
      <alignment horizontal="center" vertical="center"/>
    </xf>
    <xf numFmtId="0" fontId="15" fillId="0" borderId="1" xfId="0" applyFont="1" applyBorder="1" applyAlignment="1">
      <alignment horizontal="left" vertical="center" wrapText="1"/>
    </xf>
    <xf numFmtId="0" fontId="15" fillId="0" borderId="9" xfId="0" applyFont="1" applyBorder="1" applyAlignment="1">
      <alignment horizontal="left" vertical="center" wrapText="1"/>
    </xf>
    <xf numFmtId="0" fontId="15" fillId="0" borderId="2" xfId="0" applyFont="1" applyBorder="1" applyAlignment="1">
      <alignment horizontal="left" vertical="center" wrapText="1"/>
    </xf>
    <xf numFmtId="0" fontId="15" fillId="0" borderId="11" xfId="0" applyFont="1" applyBorder="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center" vertical="center"/>
    </xf>
    <xf numFmtId="0" fontId="6" fillId="0" borderId="0" xfId="0" applyFont="1" applyAlignment="1">
      <alignment horizontal="center" vertical="center"/>
    </xf>
    <xf numFmtId="0" fontId="15" fillId="0" borderId="6" xfId="0" applyFont="1" applyBorder="1" applyAlignment="1">
      <alignment horizontal="left" vertical="center"/>
    </xf>
    <xf numFmtId="0" fontId="15" fillId="0" borderId="10" xfId="0" applyFont="1" applyBorder="1" applyAlignment="1">
      <alignment horizontal="left" vertical="center"/>
    </xf>
    <xf numFmtId="0" fontId="14" fillId="4" borderId="6" xfId="6" applyFont="1" applyFill="1" applyBorder="1" applyAlignment="1" applyProtection="1">
      <alignment horizontal="center" vertical="center" wrapText="1"/>
      <protection hidden="1"/>
    </xf>
    <xf numFmtId="0" fontId="14" fillId="4" borderId="10" xfId="6" applyFont="1" applyFill="1" applyBorder="1" applyAlignment="1" applyProtection="1">
      <alignment horizontal="center" vertical="center" wrapText="1"/>
      <protection hidden="1"/>
    </xf>
    <xf numFmtId="0" fontId="27" fillId="0" borderId="6" xfId="0" applyFont="1" applyBorder="1" applyAlignment="1">
      <alignment horizontal="center" vertical="center"/>
    </xf>
    <xf numFmtId="0" fontId="27" fillId="0" borderId="12" xfId="0" applyFont="1" applyBorder="1" applyAlignment="1">
      <alignment horizontal="center" vertical="center"/>
    </xf>
    <xf numFmtId="0" fontId="26" fillId="0" borderId="3" xfId="3" applyFont="1" applyBorder="1" applyAlignment="1" applyProtection="1">
      <alignment horizontal="left" vertical="center"/>
      <protection hidden="1"/>
    </xf>
    <xf numFmtId="0" fontId="26" fillId="0" borderId="4" xfId="3" applyFont="1" applyBorder="1" applyAlignment="1" applyProtection="1">
      <alignment horizontal="left" vertical="center"/>
      <protection hidden="1"/>
    </xf>
    <xf numFmtId="0" fontId="26" fillId="0" borderId="5" xfId="3" applyFont="1" applyBorder="1" applyAlignment="1" applyProtection="1">
      <alignment horizontal="left" vertical="center"/>
      <protection hidden="1"/>
    </xf>
    <xf numFmtId="0" fontId="11" fillId="0" borderId="1" xfId="0" applyFont="1" applyBorder="1" applyAlignment="1">
      <alignment horizontal="left" vertical="center"/>
    </xf>
    <xf numFmtId="0" fontId="21" fillId="0" borderId="1" xfId="0" applyFont="1" applyBorder="1" applyAlignment="1">
      <alignment horizontal="left" vertical="center"/>
    </xf>
    <xf numFmtId="0" fontId="14" fillId="4" borderId="3" xfId="6" applyFont="1" applyFill="1" applyBorder="1" applyAlignment="1" applyProtection="1">
      <alignment horizontal="center" vertical="center"/>
      <protection hidden="1"/>
    </xf>
    <xf numFmtId="0" fontId="14" fillId="4" borderId="4" xfId="6" applyFont="1" applyFill="1" applyBorder="1" applyAlignment="1" applyProtection="1">
      <alignment horizontal="center" vertical="center"/>
      <protection hidden="1"/>
    </xf>
    <xf numFmtId="0" fontId="14" fillId="4" borderId="5" xfId="6" applyFont="1" applyFill="1" applyBorder="1" applyAlignment="1" applyProtection="1">
      <alignment horizontal="center" vertical="center"/>
      <protection hidden="1"/>
    </xf>
    <xf numFmtId="0" fontId="11" fillId="0" borderId="3" xfId="0" applyFont="1" applyBorder="1" applyAlignment="1">
      <alignment horizontal="right" vertical="center"/>
    </xf>
    <xf numFmtId="0" fontId="11" fillId="0" borderId="5" xfId="0" applyFont="1" applyBorder="1" applyAlignment="1">
      <alignment horizontal="right" vertical="center"/>
    </xf>
    <xf numFmtId="0" fontId="14" fillId="4" borderId="1" xfId="6" applyFont="1" applyFill="1" applyBorder="1" applyAlignment="1" applyProtection="1">
      <alignment horizontal="center" vertical="center" wrapText="1"/>
      <protection hidden="1"/>
    </xf>
    <xf numFmtId="0" fontId="14" fillId="4" borderId="7" xfId="6" applyFont="1" applyFill="1" applyBorder="1" applyAlignment="1" applyProtection="1">
      <alignment horizontal="center" vertical="center"/>
      <protection hidden="1"/>
    </xf>
    <xf numFmtId="0" fontId="14" fillId="4" borderId="8" xfId="6" applyFont="1" applyFill="1" applyBorder="1" applyAlignment="1" applyProtection="1">
      <alignment horizontal="center" vertical="center"/>
      <protection hidden="1"/>
    </xf>
    <xf numFmtId="0" fontId="14" fillId="4" borderId="13" xfId="6" applyFont="1" applyFill="1" applyBorder="1" applyAlignment="1" applyProtection="1">
      <alignment horizontal="center" vertical="center"/>
      <protection hidden="1"/>
    </xf>
    <xf numFmtId="0" fontId="14" fillId="4" borderId="9" xfId="6" applyFont="1" applyFill="1" applyBorder="1" applyAlignment="1" applyProtection="1">
      <alignment horizontal="center" vertical="center"/>
      <protection hidden="1"/>
    </xf>
    <xf numFmtId="0" fontId="14" fillId="4" borderId="2" xfId="6" applyFont="1" applyFill="1" applyBorder="1" applyAlignment="1" applyProtection="1">
      <alignment horizontal="center" vertical="center"/>
      <protection hidden="1"/>
    </xf>
    <xf numFmtId="0" fontId="14" fillId="4" borderId="11" xfId="6" applyFont="1" applyFill="1" applyBorder="1" applyAlignment="1" applyProtection="1">
      <alignment horizontal="center" vertical="center"/>
      <protection hidden="1"/>
    </xf>
    <xf numFmtId="0" fontId="19" fillId="0" borderId="0" xfId="0" applyFont="1" applyAlignment="1">
      <alignment horizontal="center"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4" fillId="12" borderId="1" xfId="0" applyFont="1" applyFill="1" applyBorder="1" applyAlignment="1">
      <alignment horizontal="left" vertical="center"/>
    </xf>
    <xf numFmtId="0" fontId="15" fillId="12" borderId="1" xfId="0" applyFont="1" applyFill="1" applyBorder="1" applyAlignment="1">
      <alignment horizontal="left" vertical="center"/>
    </xf>
    <xf numFmtId="0" fontId="30" fillId="3" borderId="2" xfId="3" applyFont="1" applyFill="1" applyBorder="1" applyAlignment="1" applyProtection="1">
      <alignment horizontal="left" vertical="center"/>
      <protection hidden="1"/>
    </xf>
    <xf numFmtId="0" fontId="30" fillId="3" borderId="11" xfId="3" applyFont="1" applyFill="1" applyBorder="1" applyAlignment="1" applyProtection="1">
      <alignment horizontal="left" vertical="center"/>
      <protection hidden="1"/>
    </xf>
    <xf numFmtId="9" fontId="30" fillId="0" borderId="10" xfId="2" applyFont="1" applyFill="1" applyBorder="1" applyAlignment="1">
      <alignment vertical="center"/>
    </xf>
  </cellXfs>
  <cellStyles count="8">
    <cellStyle name="Comma" xfId="1" builtinId="3"/>
    <cellStyle name="Comma [0]" xfId="7" builtinId="6"/>
    <cellStyle name="Comma 10" xfId="5" xr:uid="{00000000-0005-0000-0000-000001000000}"/>
    <cellStyle name="Normal" xfId="0" builtinId="0"/>
    <cellStyle name="Normal 2 2" xfId="6" xr:uid="{00000000-0005-0000-0000-000003000000}"/>
    <cellStyle name="Normal 2 3" xfId="4" xr:uid="{00000000-0005-0000-0000-000004000000}"/>
    <cellStyle name="Normal 3 4" xfId="3" xr:uid="{00000000-0005-0000-0000-000005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124608</xdr:colOff>
      <xdr:row>7</xdr:row>
      <xdr:rowOff>114475</xdr:rowOff>
    </xdr:to>
    <xdr:pic>
      <xdr:nvPicPr>
        <xdr:cNvPr id="2" name="Picture 1">
          <a:extLst>
            <a:ext uri="{FF2B5EF4-FFF2-40B4-BE49-F238E27FC236}">
              <a16:creationId xmlns:a16="http://schemas.microsoft.com/office/drawing/2014/main" id="{4CCFFC22-F8C4-4656-8EEB-1A6BA55BE47C}"/>
            </a:ext>
          </a:extLst>
        </xdr:cNvPr>
        <xdr:cNvPicPr>
          <a:picLocks noChangeAspect="1"/>
        </xdr:cNvPicPr>
      </xdr:nvPicPr>
      <xdr:blipFill>
        <a:blip xmlns:r="http://schemas.openxmlformats.org/officeDocument/2006/relationships" r:embed="rId1"/>
        <a:stretch>
          <a:fillRect/>
        </a:stretch>
      </xdr:blipFill>
      <xdr:spPr>
        <a:xfrm>
          <a:off x="0" y="190500"/>
          <a:ext cx="5611008" cy="12574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9"/>
  <sheetViews>
    <sheetView zoomScale="90" zoomScaleNormal="90" workbookViewId="0">
      <selection activeCell="G20" sqref="G20"/>
    </sheetView>
  </sheetViews>
  <sheetFormatPr baseColWidth="10" defaultColWidth="9.33203125" defaultRowHeight="16" x14ac:dyDescent="0.2"/>
  <cols>
    <col min="1" max="1" width="8.6640625" style="77" customWidth="1"/>
    <col min="2" max="2" width="50.6640625" style="8" customWidth="1"/>
    <col min="3" max="3" width="19.33203125" style="8" customWidth="1"/>
    <col min="4" max="4" width="19.6640625" style="8" customWidth="1"/>
    <col min="5" max="5" width="21.6640625" style="8" customWidth="1"/>
    <col min="6" max="6" width="19.6640625" style="8" customWidth="1"/>
    <col min="7" max="7" width="35.1640625" style="8" customWidth="1"/>
    <col min="8" max="9" width="28.6640625" style="8" customWidth="1"/>
    <col min="10" max="10" width="16.6640625" style="9" customWidth="1"/>
    <col min="11" max="11" width="14.5" style="8" customWidth="1"/>
    <col min="12" max="12" width="10.33203125" style="8" customWidth="1"/>
    <col min="13" max="13" width="18.5" style="8" customWidth="1"/>
    <col min="14" max="14" width="16.6640625" style="8" customWidth="1"/>
    <col min="15" max="15" width="14.5" style="8" customWidth="1"/>
    <col min="16" max="16" width="21.5" style="8" customWidth="1"/>
    <col min="17" max="17" width="15.6640625" style="8" customWidth="1"/>
    <col min="18" max="18" width="19.33203125" style="10" customWidth="1"/>
    <col min="19" max="19" width="19.6640625" style="10" customWidth="1"/>
    <col min="20" max="20" width="19.33203125" style="10" customWidth="1"/>
    <col min="21" max="16384" width="9.33203125" style="8"/>
  </cols>
  <sheetData>
    <row r="1" spans="1:20" ht="96" customHeight="1" x14ac:dyDescent="0.2">
      <c r="A1" s="245" t="s">
        <v>125</v>
      </c>
      <c r="B1" s="245"/>
      <c r="C1" s="245"/>
      <c r="D1" s="245"/>
      <c r="E1" s="245"/>
      <c r="F1" s="245"/>
      <c r="G1" s="245"/>
    </row>
    <row r="2" spans="1:20" ht="20.25" customHeight="1" x14ac:dyDescent="0.2">
      <c r="A2" s="246"/>
      <c r="B2" s="246"/>
      <c r="C2" s="246"/>
      <c r="D2" s="246"/>
      <c r="E2" s="246"/>
      <c r="F2" s="246"/>
      <c r="G2" s="246"/>
    </row>
    <row r="3" spans="1:20" ht="17.25" customHeight="1" x14ac:dyDescent="0.2">
      <c r="B3" s="142" t="s">
        <v>10</v>
      </c>
      <c r="C3" s="143"/>
      <c r="D3" s="78"/>
      <c r="E3" s="78"/>
      <c r="F3" s="78"/>
      <c r="G3" s="78"/>
      <c r="J3" s="8"/>
    </row>
    <row r="4" spans="1:20" ht="21.75" customHeight="1" x14ac:dyDescent="0.2">
      <c r="B4" s="7" t="s">
        <v>11</v>
      </c>
      <c r="C4" s="144" t="s">
        <v>198</v>
      </c>
      <c r="D4" s="78"/>
      <c r="E4" s="78"/>
      <c r="F4" s="78"/>
      <c r="G4" s="78"/>
    </row>
    <row r="5" spans="1:20" ht="21.75" customHeight="1" x14ac:dyDescent="0.2">
      <c r="B5" s="7" t="s">
        <v>152</v>
      </c>
      <c r="C5" s="233">
        <f>VLOOKUP(C4,Sheet1!A:E,5,0)</f>
        <v>39914809997</v>
      </c>
      <c r="D5" s="78"/>
      <c r="E5" s="78"/>
      <c r="F5" s="79"/>
      <c r="G5" s="79"/>
      <c r="J5" s="71"/>
      <c r="K5" s="72"/>
      <c r="L5" s="72"/>
      <c r="M5" s="72"/>
      <c r="N5" s="72"/>
      <c r="O5" s="72"/>
      <c r="P5" s="72"/>
    </row>
    <row r="6" spans="1:20" ht="21.75" customHeight="1" x14ac:dyDescent="0.2">
      <c r="B6" s="12" t="s">
        <v>36</v>
      </c>
      <c r="C6" s="145" t="s">
        <v>160</v>
      </c>
      <c r="D6" s="60"/>
      <c r="E6" s="60"/>
      <c r="F6" s="60"/>
      <c r="G6" s="78"/>
      <c r="J6" s="71"/>
      <c r="K6" s="72"/>
      <c r="L6" s="72"/>
      <c r="M6" s="72"/>
      <c r="N6" s="72"/>
      <c r="O6" s="72"/>
      <c r="P6" s="72"/>
    </row>
    <row r="7" spans="1:20" ht="17.25" customHeight="1" x14ac:dyDescent="0.2">
      <c r="A7" s="80" t="s">
        <v>12</v>
      </c>
      <c r="B7" s="247" t="s">
        <v>91</v>
      </c>
      <c r="C7" s="248"/>
      <c r="D7" s="248"/>
      <c r="E7" s="248"/>
      <c r="F7" s="249"/>
      <c r="G7" s="80" t="s">
        <v>13</v>
      </c>
      <c r="J7" s="71" t="s">
        <v>14</v>
      </c>
      <c r="K7" s="72"/>
      <c r="L7" s="72"/>
      <c r="M7" s="72"/>
      <c r="N7" s="72"/>
      <c r="O7" s="72"/>
      <c r="P7" s="72"/>
    </row>
    <row r="8" spans="1:20" ht="17.25" customHeight="1" x14ac:dyDescent="0.2">
      <c r="A8" s="109">
        <v>1</v>
      </c>
      <c r="B8" s="250" t="s">
        <v>92</v>
      </c>
      <c r="C8" s="251"/>
      <c r="D8" s="251"/>
      <c r="E8" s="251"/>
      <c r="F8" s="252"/>
      <c r="G8" s="230">
        <f>VLOOKUP(C4,Sheet1!A:H,8,0)</f>
        <v>86618895.657521278</v>
      </c>
      <c r="J8" s="71"/>
      <c r="K8" s="72"/>
      <c r="L8" s="72"/>
      <c r="M8" s="72"/>
      <c r="N8" s="72"/>
      <c r="O8" s="72"/>
      <c r="P8" s="72"/>
    </row>
    <row r="9" spans="1:20" ht="17.25" customHeight="1" x14ac:dyDescent="0.2">
      <c r="A9" s="4">
        <v>2</v>
      </c>
      <c r="B9" s="253" t="s">
        <v>56</v>
      </c>
      <c r="C9" s="254"/>
      <c r="D9" s="254"/>
      <c r="E9" s="254"/>
      <c r="F9" s="255"/>
      <c r="G9" s="82">
        <f>VLOOKUP(C4,Sheet1!A:G,7,0)</f>
        <v>422.8</v>
      </c>
      <c r="J9" s="146"/>
      <c r="K9" s="146"/>
      <c r="L9" s="146"/>
      <c r="M9" s="146"/>
      <c r="N9" s="72"/>
      <c r="O9" s="72"/>
      <c r="P9" s="72"/>
    </row>
    <row r="10" spans="1:20" ht="17.25" customHeight="1" x14ac:dyDescent="0.2">
      <c r="A10" s="4">
        <v>3</v>
      </c>
      <c r="B10" s="253" t="s">
        <v>15</v>
      </c>
      <c r="C10" s="254"/>
      <c r="D10" s="254"/>
      <c r="E10" s="254"/>
      <c r="F10" s="255"/>
      <c r="G10" s="82">
        <f>VLOOKUP(C4,Sheet1!A:F,6,0)</f>
        <v>136</v>
      </c>
      <c r="J10" s="72"/>
      <c r="K10" s="72"/>
      <c r="L10" s="72"/>
      <c r="M10" s="72"/>
      <c r="N10" s="72"/>
      <c r="O10" s="72"/>
      <c r="P10" s="72"/>
    </row>
    <row r="11" spans="1:20" ht="17.25" customHeight="1" x14ac:dyDescent="0.2">
      <c r="A11" s="17">
        <v>4</v>
      </c>
      <c r="B11" s="253" t="s">
        <v>90</v>
      </c>
      <c r="C11" s="254"/>
      <c r="D11" s="254"/>
      <c r="E11" s="254"/>
      <c r="F11" s="255"/>
      <c r="G11" s="83">
        <v>40035060</v>
      </c>
      <c r="J11" s="72"/>
      <c r="K11" s="72"/>
      <c r="L11" s="72"/>
      <c r="M11" s="72"/>
      <c r="N11" s="72"/>
      <c r="O11" s="72"/>
      <c r="P11" s="72"/>
    </row>
    <row r="12" spans="1:20" s="200" customFormat="1" ht="16.5" customHeight="1" x14ac:dyDescent="0.2">
      <c r="A12" s="256">
        <v>5</v>
      </c>
      <c r="B12" s="259" t="s">
        <v>51</v>
      </c>
      <c r="C12" s="260"/>
      <c r="D12" s="260"/>
      <c r="E12" s="260"/>
      <c r="F12" s="261"/>
      <c r="G12" s="194">
        <v>3.5000000000000003E-2</v>
      </c>
      <c r="H12" s="199"/>
      <c r="L12" s="201"/>
      <c r="R12" s="202"/>
      <c r="S12" s="202"/>
      <c r="T12" s="202"/>
    </row>
    <row r="13" spans="1:20" s="200" customFormat="1" ht="17.25" customHeight="1" x14ac:dyDescent="0.2">
      <c r="A13" s="257"/>
      <c r="B13" s="259" t="s">
        <v>53</v>
      </c>
      <c r="C13" s="260"/>
      <c r="D13" s="260"/>
      <c r="E13" s="260"/>
      <c r="F13" s="261"/>
      <c r="G13" s="210">
        <v>0</v>
      </c>
      <c r="H13" s="205"/>
      <c r="L13" s="201"/>
      <c r="R13" s="202"/>
      <c r="S13" s="202"/>
      <c r="T13" s="202"/>
    </row>
    <row r="14" spans="1:20" s="23" customFormat="1" ht="17.25" customHeight="1" x14ac:dyDescent="0.2">
      <c r="A14" s="258"/>
      <c r="B14" s="262" t="s">
        <v>122</v>
      </c>
      <c r="C14" s="263"/>
      <c r="D14" s="263"/>
      <c r="E14" s="263"/>
      <c r="F14" s="264"/>
      <c r="G14" s="194">
        <v>0</v>
      </c>
      <c r="H14" s="96"/>
      <c r="J14" s="67"/>
      <c r="M14" s="147"/>
      <c r="R14" s="69"/>
      <c r="S14" s="69"/>
      <c r="T14" s="69"/>
    </row>
    <row r="15" spans="1:20" s="86" customFormat="1" ht="17.25" customHeight="1" x14ac:dyDescent="0.2">
      <c r="A15" s="91">
        <v>6</v>
      </c>
      <c r="B15" s="242" t="s">
        <v>124</v>
      </c>
      <c r="C15" s="243"/>
      <c r="D15" s="243"/>
      <c r="E15" s="243"/>
      <c r="F15" s="244"/>
      <c r="G15" s="84">
        <v>5.0000000000000001E-3</v>
      </c>
      <c r="H15" s="85" t="s">
        <v>100</v>
      </c>
      <c r="J15" s="89"/>
      <c r="M15" s="90"/>
      <c r="R15" s="88"/>
      <c r="S15" s="88"/>
      <c r="T15" s="88"/>
    </row>
    <row r="16" spans="1:20" s="196" customFormat="1" ht="17.25" customHeight="1" x14ac:dyDescent="0.2">
      <c r="A16" s="208">
        <v>7</v>
      </c>
      <c r="B16" s="259" t="s">
        <v>54</v>
      </c>
      <c r="C16" s="260"/>
      <c r="D16" s="260"/>
      <c r="E16" s="260"/>
      <c r="F16" s="261"/>
      <c r="G16" s="209">
        <v>0</v>
      </c>
      <c r="H16" s="195"/>
      <c r="J16" s="197"/>
      <c r="M16" s="203"/>
      <c r="R16" s="198"/>
      <c r="S16" s="198"/>
      <c r="T16" s="198"/>
    </row>
    <row r="17" spans="1:20" s="200" customFormat="1" ht="17.25" customHeight="1" x14ac:dyDescent="0.2">
      <c r="A17" s="265"/>
      <c r="B17" s="259" t="s">
        <v>179</v>
      </c>
      <c r="C17" s="260"/>
      <c r="D17" s="260"/>
      <c r="E17" s="260"/>
      <c r="F17" s="261"/>
      <c r="G17" s="204">
        <v>0.05</v>
      </c>
      <c r="H17" s="205" t="s">
        <v>97</v>
      </c>
      <c r="J17" s="206"/>
      <c r="M17" s="201"/>
      <c r="R17" s="202"/>
      <c r="S17" s="202"/>
      <c r="T17" s="202"/>
    </row>
    <row r="18" spans="1:20" s="200" customFormat="1" ht="17.25" hidden="1" customHeight="1" x14ac:dyDescent="0.2">
      <c r="A18" s="266"/>
      <c r="B18" s="259" t="s">
        <v>55</v>
      </c>
      <c r="C18" s="260"/>
      <c r="D18" s="260"/>
      <c r="E18" s="260"/>
      <c r="F18" s="261"/>
      <c r="G18" s="207" t="e">
        <f>IF(#REF!=9%,(((G8-G20/G9)*(1-G12)*(1-G14)*(1-G15)*(1-G16))*G9)*2.7%,0)</f>
        <v>#REF!</v>
      </c>
      <c r="H18" s="205" t="s">
        <v>97</v>
      </c>
      <c r="J18" s="206"/>
      <c r="M18" s="201"/>
      <c r="R18" s="202"/>
      <c r="S18" s="202"/>
      <c r="T18" s="202"/>
    </row>
    <row r="19" spans="1:20" s="200" customFormat="1" ht="17.25" customHeight="1" x14ac:dyDescent="0.2">
      <c r="A19" s="241"/>
      <c r="B19" s="213" t="s">
        <v>210</v>
      </c>
      <c r="C19" s="376"/>
      <c r="D19" s="376"/>
      <c r="E19" s="376"/>
      <c r="F19" s="377"/>
      <c r="G19" s="378">
        <v>7.0000000000000007E-2</v>
      </c>
      <c r="H19" s="205"/>
      <c r="J19" s="206"/>
      <c r="M19" s="201"/>
      <c r="R19" s="202"/>
      <c r="S19" s="202"/>
      <c r="T19" s="202"/>
    </row>
    <row r="20" spans="1:20" s="23" customFormat="1" ht="17.25" customHeight="1" x14ac:dyDescent="0.2">
      <c r="A20" s="3">
        <v>9</v>
      </c>
      <c r="B20" s="213" t="s">
        <v>57</v>
      </c>
      <c r="C20" s="93"/>
      <c r="D20" s="93"/>
      <c r="E20" s="93"/>
      <c r="F20" s="94"/>
      <c r="G20" s="148">
        <f>VLOOKUP(C4,Sheet1!A:K,11,0)</f>
        <v>145000000</v>
      </c>
      <c r="J20" s="67"/>
      <c r="M20" s="68"/>
      <c r="R20" s="69"/>
      <c r="S20" s="69"/>
      <c r="T20" s="69"/>
    </row>
    <row r="21" spans="1:20" s="23" customFormat="1" ht="17.25" customHeight="1" x14ac:dyDescent="0.2">
      <c r="A21" s="97">
        <v>10</v>
      </c>
      <c r="B21" s="98" t="s">
        <v>93</v>
      </c>
      <c r="C21" s="93"/>
      <c r="D21" s="93"/>
      <c r="E21" s="93"/>
      <c r="F21" s="94"/>
      <c r="G21" s="99">
        <f>(G8-G20/G9)*(1-G12)*(1-G14)*(1-G15)*(1-G16)*(1-G17)*(1-G19)</f>
        <v>73189143.923779994</v>
      </c>
      <c r="H21" s="100"/>
      <c r="I21" s="100"/>
      <c r="J21" s="67"/>
      <c r="M21" s="68"/>
      <c r="R21" s="69"/>
      <c r="S21" s="69"/>
      <c r="T21" s="69"/>
    </row>
    <row r="22" spans="1:20" s="23" customFormat="1" ht="17.25" customHeight="1" x14ac:dyDescent="0.2">
      <c r="A22" s="97">
        <v>11</v>
      </c>
      <c r="B22" s="98" t="s">
        <v>94</v>
      </c>
      <c r="C22" s="93"/>
      <c r="D22" s="93"/>
      <c r="E22" s="93"/>
      <c r="F22" s="94"/>
      <c r="G22" s="99"/>
      <c r="H22" s="102"/>
      <c r="J22" s="67"/>
      <c r="M22" s="68"/>
      <c r="R22" s="69"/>
      <c r="S22" s="69"/>
      <c r="T22" s="69"/>
    </row>
    <row r="23" spans="1:20" ht="17.25" customHeight="1" x14ac:dyDescent="0.2">
      <c r="A23" s="64" t="s">
        <v>18</v>
      </c>
      <c r="B23" s="142" t="s">
        <v>41</v>
      </c>
      <c r="C23" s="143"/>
      <c r="D23" s="143"/>
      <c r="E23" s="149"/>
      <c r="F23" s="150"/>
      <c r="G23" s="151" t="s">
        <v>19</v>
      </c>
      <c r="H23" s="191"/>
      <c r="I23" s="29"/>
      <c r="J23" s="71" t="s">
        <v>16</v>
      </c>
      <c r="K23" s="72"/>
      <c r="L23" s="72"/>
      <c r="M23" s="73">
        <v>5.0000000000000001E-3</v>
      </c>
      <c r="N23" s="72" t="s">
        <v>17</v>
      </c>
      <c r="O23" s="72"/>
      <c r="P23" s="72"/>
    </row>
    <row r="24" spans="1:20" s="154" customFormat="1" ht="17.25" customHeight="1" x14ac:dyDescent="0.2">
      <c r="A24" s="4">
        <v>1</v>
      </c>
      <c r="B24" s="267" t="s">
        <v>87</v>
      </c>
      <c r="C24" s="268"/>
      <c r="D24" s="268"/>
      <c r="E24" s="268"/>
      <c r="F24" s="269"/>
      <c r="G24" s="152">
        <f>G21*G9</f>
        <v>30944370050.974182</v>
      </c>
      <c r="H24" s="153"/>
      <c r="I24" s="118"/>
      <c r="J24" s="155"/>
      <c r="K24" s="146"/>
      <c r="L24" s="146"/>
      <c r="M24" s="146"/>
      <c r="N24" s="146"/>
      <c r="O24" s="146"/>
      <c r="P24" s="146"/>
      <c r="R24" s="122"/>
      <c r="S24" s="122"/>
      <c r="T24" s="122"/>
    </row>
    <row r="25" spans="1:20" ht="17.25" customHeight="1" x14ac:dyDescent="0.2">
      <c r="A25" s="4">
        <v>2</v>
      </c>
      <c r="B25" s="250" t="s">
        <v>20</v>
      </c>
      <c r="C25" s="251"/>
      <c r="D25" s="251"/>
      <c r="E25" s="251"/>
      <c r="F25" s="252"/>
      <c r="G25" s="152">
        <f>(G24-G10*G11)*10%</f>
        <v>2549960189.0974183</v>
      </c>
      <c r="H25" s="102"/>
    </row>
    <row r="26" spans="1:20" ht="17.25" customHeight="1" x14ac:dyDescent="0.2">
      <c r="A26" s="4">
        <v>3</v>
      </c>
      <c r="B26" s="267" t="s">
        <v>86</v>
      </c>
      <c r="C26" s="268"/>
      <c r="D26" s="268"/>
      <c r="E26" s="268"/>
      <c r="F26" s="269"/>
      <c r="G26" s="152">
        <f>G24+G25</f>
        <v>33494330240.071602</v>
      </c>
      <c r="H26" s="49"/>
    </row>
    <row r="27" spans="1:20" ht="17.25" customHeight="1" x14ac:dyDescent="0.2">
      <c r="A27" s="4">
        <v>4</v>
      </c>
      <c r="B27" s="267" t="s">
        <v>2</v>
      </c>
      <c r="C27" s="268"/>
      <c r="D27" s="268"/>
      <c r="E27" s="268"/>
      <c r="F27" s="269"/>
      <c r="G27" s="156">
        <f>VLOOKUP(C4,Sheet1!A:D,4,0)</f>
        <v>174570821</v>
      </c>
      <c r="H27" s="86"/>
      <c r="M27" s="157"/>
    </row>
    <row r="28" spans="1:20" ht="17.25" customHeight="1" x14ac:dyDescent="0.2">
      <c r="A28" s="4">
        <v>5</v>
      </c>
      <c r="B28" s="277" t="s">
        <v>88</v>
      </c>
      <c r="C28" s="278"/>
      <c r="D28" s="278"/>
      <c r="E28" s="278"/>
      <c r="F28" s="279"/>
      <c r="G28" s="158">
        <f>G26+G27</f>
        <v>33668901061.071602</v>
      </c>
      <c r="H28" s="49"/>
    </row>
    <row r="29" spans="1:20" ht="20.5" hidden="1" customHeight="1" x14ac:dyDescent="0.2">
      <c r="A29" s="227" t="s">
        <v>40</v>
      </c>
      <c r="B29" s="280" t="s">
        <v>109</v>
      </c>
      <c r="C29" s="281"/>
      <c r="D29" s="281"/>
      <c r="E29" s="281"/>
      <c r="F29" s="282"/>
      <c r="G29" s="228">
        <f ca="1">S45</f>
        <v>280427055.75229514</v>
      </c>
      <c r="H29" s="159" t="s">
        <v>58</v>
      </c>
    </row>
    <row r="30" spans="1:20" ht="17.25" hidden="1" customHeight="1" x14ac:dyDescent="0.2">
      <c r="A30" s="160">
        <v>1</v>
      </c>
      <c r="B30" s="275" t="s">
        <v>108</v>
      </c>
      <c r="C30" s="276"/>
      <c r="D30" s="276"/>
      <c r="E30" s="276"/>
      <c r="F30" s="276"/>
      <c r="G30" s="158">
        <f ca="1">G31+G32+G33</f>
        <v>33360431299.74408</v>
      </c>
      <c r="H30" s="159" t="s">
        <v>58</v>
      </c>
    </row>
    <row r="31" spans="1:20" ht="17.25" hidden="1" customHeight="1" x14ac:dyDescent="0.2">
      <c r="A31" s="4">
        <v>2</v>
      </c>
      <c r="B31" s="283" t="s">
        <v>89</v>
      </c>
      <c r="C31" s="283"/>
      <c r="D31" s="283"/>
      <c r="E31" s="283"/>
      <c r="F31" s="283"/>
      <c r="G31" s="158">
        <f ca="1">((G24/G9)-(G29/G9))*G9</f>
        <v>30663942995.221889</v>
      </c>
      <c r="H31" s="159" t="s">
        <v>58</v>
      </c>
    </row>
    <row r="32" spans="1:20" ht="17" hidden="1" customHeight="1" x14ac:dyDescent="0.2">
      <c r="A32" s="4">
        <v>3</v>
      </c>
      <c r="B32" s="283" t="s">
        <v>1</v>
      </c>
      <c r="C32" s="283"/>
      <c r="D32" s="283"/>
      <c r="E32" s="283"/>
      <c r="F32" s="283"/>
      <c r="G32" s="158">
        <f ca="1">(G31-G10*G11)*10%</f>
        <v>2521917483.5221891</v>
      </c>
      <c r="H32" s="159" t="s">
        <v>58</v>
      </c>
    </row>
    <row r="33" spans="1:20" ht="17.25" hidden="1" customHeight="1" x14ac:dyDescent="0.2">
      <c r="A33" s="4">
        <v>4</v>
      </c>
      <c r="B33" s="283" t="s">
        <v>2</v>
      </c>
      <c r="C33" s="283"/>
      <c r="D33" s="283"/>
      <c r="E33" s="283"/>
      <c r="F33" s="283"/>
      <c r="G33" s="161">
        <f>G27</f>
        <v>174570821</v>
      </c>
      <c r="H33" s="159" t="s">
        <v>58</v>
      </c>
    </row>
    <row r="34" spans="1:20" ht="17.25" customHeight="1" x14ac:dyDescent="0.2">
      <c r="A34" s="284"/>
      <c r="B34" s="284"/>
      <c r="C34" s="284"/>
      <c r="D34" s="284"/>
      <c r="E34" s="284"/>
      <c r="F34" s="284"/>
      <c r="G34" s="284"/>
      <c r="H34" s="49"/>
    </row>
    <row r="35" spans="1:20" ht="17.25" customHeight="1" x14ac:dyDescent="0.2">
      <c r="A35" s="162" t="s">
        <v>21</v>
      </c>
      <c r="B35" s="163" t="s">
        <v>22</v>
      </c>
      <c r="C35" s="164"/>
      <c r="D35" s="164"/>
      <c r="E35" s="164"/>
      <c r="F35" s="164"/>
      <c r="G35" s="164"/>
    </row>
    <row r="36" spans="1:20" ht="17.25" customHeight="1" x14ac:dyDescent="0.2">
      <c r="A36" s="165">
        <v>1</v>
      </c>
      <c r="B36" s="166" t="s">
        <v>23</v>
      </c>
      <c r="C36" s="167"/>
      <c r="D36" s="167"/>
      <c r="E36" s="168"/>
      <c r="F36" s="168"/>
      <c r="G36" s="168"/>
      <c r="L36" s="169" t="s">
        <v>42</v>
      </c>
      <c r="Q36" s="170">
        <v>0.11</v>
      </c>
    </row>
    <row r="37" spans="1:20" ht="34.5" customHeight="1" x14ac:dyDescent="0.2">
      <c r="A37" s="15" t="s">
        <v>24</v>
      </c>
      <c r="B37" s="16" t="s">
        <v>22</v>
      </c>
      <c r="C37" s="35"/>
      <c r="D37" s="36"/>
      <c r="E37" s="15" t="s">
        <v>3</v>
      </c>
      <c r="F37" s="15" t="s">
        <v>4</v>
      </c>
      <c r="G37" s="15" t="s">
        <v>13</v>
      </c>
      <c r="J37" s="103" t="s">
        <v>107</v>
      </c>
      <c r="K37" s="192">
        <f ca="1">F50</f>
        <v>46084</v>
      </c>
      <c r="L37" s="37" t="s">
        <v>24</v>
      </c>
      <c r="M37" s="38" t="s">
        <v>43</v>
      </c>
      <c r="N37" s="38" t="s">
        <v>44</v>
      </c>
      <c r="O37" s="39" t="s">
        <v>45</v>
      </c>
      <c r="P37" s="38" t="s">
        <v>46</v>
      </c>
      <c r="Q37" s="40" t="s">
        <v>47</v>
      </c>
      <c r="R37" s="38" t="s">
        <v>48</v>
      </c>
      <c r="S37" s="38" t="s">
        <v>49</v>
      </c>
      <c r="T37" s="38" t="s">
        <v>50</v>
      </c>
    </row>
    <row r="38" spans="1:20" ht="20.25" customHeight="1" x14ac:dyDescent="0.2">
      <c r="A38" s="4"/>
      <c r="B38" s="270" t="s">
        <v>110</v>
      </c>
      <c r="C38" s="271"/>
      <c r="D38" s="272"/>
      <c r="E38" s="171"/>
      <c r="F38" s="47">
        <f ca="1">TODAY()</f>
        <v>46084</v>
      </c>
      <c r="G38" s="53">
        <v>300000000</v>
      </c>
      <c r="L38" s="4"/>
      <c r="M38" s="41"/>
      <c r="N38" s="7"/>
      <c r="O38" s="7"/>
      <c r="P38" s="42"/>
      <c r="Q38" s="43"/>
      <c r="R38" s="26"/>
      <c r="S38" s="26"/>
      <c r="T38" s="26"/>
    </row>
    <row r="39" spans="1:20" ht="20.25" customHeight="1" x14ac:dyDescent="0.2">
      <c r="A39" s="17" t="s">
        <v>25</v>
      </c>
      <c r="B39" s="270" t="s">
        <v>159</v>
      </c>
      <c r="C39" s="271"/>
      <c r="D39" s="272"/>
      <c r="E39" s="55">
        <v>0.1</v>
      </c>
      <c r="F39" s="47">
        <f ca="1">F38+5</f>
        <v>46089</v>
      </c>
      <c r="G39" s="48">
        <f>E39*G26-G38</f>
        <v>3049433024.0071602</v>
      </c>
      <c r="I39" s="29"/>
      <c r="L39" s="4"/>
      <c r="M39" s="41"/>
      <c r="N39" s="7"/>
      <c r="O39" s="7"/>
      <c r="P39" s="44"/>
      <c r="Q39" s="43"/>
      <c r="R39" s="26"/>
      <c r="S39" s="26"/>
      <c r="T39" s="26"/>
    </row>
    <row r="40" spans="1:20" ht="20.25" customHeight="1" x14ac:dyDescent="0.2">
      <c r="A40" s="109" t="s">
        <v>26</v>
      </c>
      <c r="B40" s="290" t="s">
        <v>101</v>
      </c>
      <c r="C40" s="291"/>
      <c r="D40" s="292"/>
      <c r="E40" s="55">
        <v>0.15</v>
      </c>
      <c r="F40" s="47">
        <f ca="1">IF(WEEKDAY($F$38+25)=1,$F$38+26,$F$38+25)</f>
        <v>46109</v>
      </c>
      <c r="G40" s="48">
        <f>E40*G26</f>
        <v>5024149536.0107403</v>
      </c>
      <c r="H40" s="49"/>
      <c r="I40" s="49"/>
      <c r="L40" s="4"/>
      <c r="M40" s="41"/>
      <c r="N40" s="25"/>
      <c r="O40" s="4"/>
      <c r="P40" s="44"/>
      <c r="Q40" s="43"/>
      <c r="R40" s="45">
        <f>P40-P40*(1/(1+Q40)^O40)</f>
        <v>0</v>
      </c>
      <c r="S40" s="32">
        <f>R40/1.1</f>
        <v>0</v>
      </c>
      <c r="T40" s="45">
        <f>P40-R40</f>
        <v>0</v>
      </c>
    </row>
    <row r="41" spans="1:20" ht="20.25" customHeight="1" x14ac:dyDescent="0.2">
      <c r="A41" s="4" t="s">
        <v>27</v>
      </c>
      <c r="B41" s="270" t="s">
        <v>104</v>
      </c>
      <c r="C41" s="271"/>
      <c r="D41" s="272"/>
      <c r="E41" s="55">
        <v>0.2</v>
      </c>
      <c r="F41" s="47">
        <f ca="1">IF(WEEKDAY($F$38+70)=1,$F$38+71,$F$38+70)</f>
        <v>46154</v>
      </c>
      <c r="G41" s="48">
        <f>E41*G26</f>
        <v>6698866048.0143204</v>
      </c>
      <c r="H41" s="56"/>
      <c r="I41" s="29"/>
      <c r="L41" s="4" t="s">
        <v>27</v>
      </c>
      <c r="M41" s="41">
        <f ca="1">F41</f>
        <v>46154</v>
      </c>
      <c r="N41" s="27">
        <f ca="1">F40</f>
        <v>46109</v>
      </c>
      <c r="O41" s="4">
        <f ca="1">IF(OR(M41-N41&lt;1,N41=""),0,M41-N41)</f>
        <v>45</v>
      </c>
      <c r="P41" s="44">
        <f>G41</f>
        <v>6698866048.0143204</v>
      </c>
      <c r="Q41" s="43">
        <f>ROUNDDOWN($Q$36/365,7)</f>
        <v>3.0130000000000001E-4</v>
      </c>
      <c r="R41" s="45">
        <f ca="1">P41-P41*(1/(1+Q41)^O41)</f>
        <v>90200116.60599041</v>
      </c>
      <c r="S41" s="214">
        <f ca="1">R41/1.1</f>
        <v>82000106.005445823</v>
      </c>
      <c r="T41" s="45">
        <f ca="1">P41-R41</f>
        <v>6608665931.40833</v>
      </c>
    </row>
    <row r="42" spans="1:20" ht="20.25" customHeight="1" x14ac:dyDescent="0.2">
      <c r="A42" s="4" t="s">
        <v>28</v>
      </c>
      <c r="B42" s="270" t="s">
        <v>105</v>
      </c>
      <c r="C42" s="271"/>
      <c r="D42" s="272"/>
      <c r="E42" s="55">
        <v>0.2</v>
      </c>
      <c r="F42" s="47">
        <f ca="1">IF(WEEKDAY($F$38+130)=1,$F$38+131,$F$38+130)</f>
        <v>46214</v>
      </c>
      <c r="G42" s="48">
        <f>E42*G26</f>
        <v>6698866048.0143204</v>
      </c>
      <c r="L42" s="4" t="s">
        <v>28</v>
      </c>
      <c r="M42" s="41">
        <f ca="1">F42</f>
        <v>46214</v>
      </c>
      <c r="N42" s="27">
        <f ca="1">N41</f>
        <v>46109</v>
      </c>
      <c r="O42" s="4">
        <f ca="1">IF(OR(M42-N42&lt;1,N42=""),0,M42-N42)</f>
        <v>105</v>
      </c>
      <c r="P42" s="44">
        <f>G42</f>
        <v>6698866048.0143204</v>
      </c>
      <c r="Q42" s="43">
        <f>ROUNDDOWN($Q$36/365,7)</f>
        <v>3.0130000000000001E-4</v>
      </c>
      <c r="R42" s="45">
        <f ca="1">P42-P42*(1/(1+Q42)^O42)</f>
        <v>208580482.55177021</v>
      </c>
      <c r="S42" s="214">
        <f ca="1">R42/1.1</f>
        <v>189618620.50160927</v>
      </c>
      <c r="T42" s="45">
        <f ca="1">P42-R42</f>
        <v>6490285565.4625502</v>
      </c>
    </row>
    <row r="43" spans="1:20" ht="20.25" customHeight="1" x14ac:dyDescent="0.2">
      <c r="A43" s="4" t="s">
        <v>29</v>
      </c>
      <c r="B43" s="270" t="s">
        <v>106</v>
      </c>
      <c r="C43" s="271"/>
      <c r="D43" s="272"/>
      <c r="E43" s="55">
        <v>0.1</v>
      </c>
      <c r="F43" s="47">
        <f ca="1">IF(WEEKDAY($F$38+190)=1,$F$38+191,$F$38+190)</f>
        <v>46274</v>
      </c>
      <c r="G43" s="48">
        <f>E43*G26</f>
        <v>3349433024.0071602</v>
      </c>
      <c r="L43" s="4" t="s">
        <v>29</v>
      </c>
      <c r="M43" s="41">
        <f ca="1">F43</f>
        <v>46274</v>
      </c>
      <c r="N43" s="27">
        <f t="shared" ref="N43:N44" ca="1" si="0">N42</f>
        <v>46109</v>
      </c>
      <c r="O43" s="4">
        <f ca="1">IF(OR(M43-N43&lt;1,N43=""),0,M43-N43)</f>
        <v>165</v>
      </c>
      <c r="P43" s="44">
        <f>G43</f>
        <v>3349433024.0071602</v>
      </c>
      <c r="Q43" s="43">
        <f>ROUNDDOWN($Q$36/365,7)</f>
        <v>3.0130000000000001E-4</v>
      </c>
      <c r="R43" s="45">
        <f ca="1">P43-P43*(1/(1+Q43)^O43)</f>
        <v>162420156.47408819</v>
      </c>
      <c r="S43" s="214">
        <f ca="1">R43/1.1</f>
        <v>147654687.70371652</v>
      </c>
      <c r="T43" s="45">
        <f ca="1">P43-R43</f>
        <v>3187012867.533072</v>
      </c>
    </row>
    <row r="44" spans="1:20" ht="36" customHeight="1" x14ac:dyDescent="0.2">
      <c r="A44" s="4" t="s">
        <v>30</v>
      </c>
      <c r="B44" s="8" t="s">
        <v>38</v>
      </c>
      <c r="C44" s="273" t="str">
        <f>IF(C6="Hoàn thiện","D+340 ngày","D+280 ngày")</f>
        <v>D+280 ngày</v>
      </c>
      <c r="D44" s="274"/>
      <c r="E44" s="46" t="s">
        <v>102</v>
      </c>
      <c r="F44" s="47">
        <f>VLOOKUP(C4:C4,Sheet1!A:J,10,0)</f>
        <v>46075</v>
      </c>
      <c r="G44" s="48">
        <f>25%*G26+G27</f>
        <v>8548153381.0179005</v>
      </c>
      <c r="H44" s="49"/>
      <c r="I44" s="9"/>
      <c r="L44" s="4" t="s">
        <v>30</v>
      </c>
      <c r="M44" s="41">
        <f>F44</f>
        <v>46075</v>
      </c>
      <c r="N44" s="27">
        <f t="shared" ca="1" si="0"/>
        <v>46109</v>
      </c>
      <c r="O44" s="236">
        <f ca="1">IF(OR(M44-N44&lt;1,N44=""),0,M44-N44)-60</f>
        <v>-60</v>
      </c>
      <c r="P44" s="44">
        <f>G44-G27</f>
        <v>8373582560.0179005</v>
      </c>
      <c r="Q44" s="43">
        <f>ROUNDDOWN($Q$36/365,7)</f>
        <v>3.0130000000000001E-4</v>
      </c>
      <c r="R44" s="45">
        <f ca="1">P44-P44*(1/(1+Q44)^O44)</f>
        <v>-152730994.30432415</v>
      </c>
      <c r="S44" s="214">
        <f ca="1">R44/1.1</f>
        <v>-138846358.45847648</v>
      </c>
      <c r="T44" s="45">
        <f ca="1">P44-R44</f>
        <v>8526313554.3222246</v>
      </c>
    </row>
    <row r="45" spans="1:20" ht="36.75" customHeight="1" x14ac:dyDescent="0.2">
      <c r="A45" s="4" t="s">
        <v>31</v>
      </c>
      <c r="B45" s="270" t="s">
        <v>37</v>
      </c>
      <c r="C45" s="271"/>
      <c r="D45" s="272"/>
      <c r="E45" s="172"/>
      <c r="F45" s="47"/>
      <c r="G45" s="53"/>
      <c r="H45" s="49"/>
      <c r="I45" s="9"/>
      <c r="L45" s="18"/>
      <c r="M45" s="19"/>
      <c r="N45" s="19"/>
      <c r="O45" s="19"/>
      <c r="P45" s="50">
        <f>SUM(P39:P44)</f>
        <v>25120747680.053703</v>
      </c>
      <c r="Q45" s="19"/>
      <c r="R45" s="50">
        <f ca="1">SUM(R38:R44)</f>
        <v>308469761.32752466</v>
      </c>
      <c r="S45" s="51">
        <f ca="1">SUM(S38:S44)</f>
        <v>280427055.75229514</v>
      </c>
      <c r="T45" s="50">
        <f ca="1">SUM(T40:T44)</f>
        <v>24812277918.726177</v>
      </c>
    </row>
    <row r="46" spans="1:20" ht="17.25" customHeight="1" x14ac:dyDescent="0.2">
      <c r="A46" s="285" t="s">
        <v>5</v>
      </c>
      <c r="B46" s="286"/>
      <c r="C46" s="286"/>
      <c r="D46" s="287"/>
      <c r="E46" s="173">
        <v>1</v>
      </c>
      <c r="F46" s="174"/>
      <c r="G46" s="174">
        <f>SUM(G38:G44)</f>
        <v>33668901061.071602</v>
      </c>
      <c r="H46" s="175" t="b">
        <f>EXACT(G46,G28)</f>
        <v>1</v>
      </c>
      <c r="J46" s="67"/>
    </row>
    <row r="47" spans="1:20" ht="17.25" hidden="1" customHeight="1" x14ac:dyDescent="0.2">
      <c r="A47" s="176"/>
      <c r="B47" s="177"/>
      <c r="C47" s="177"/>
      <c r="D47" s="177"/>
      <c r="E47" s="177"/>
      <c r="F47" s="177"/>
      <c r="G47" s="177"/>
    </row>
    <row r="48" spans="1:20" ht="17.25" hidden="1" customHeight="1" x14ac:dyDescent="0.2">
      <c r="A48" s="165">
        <v>2</v>
      </c>
      <c r="B48" s="166" t="s">
        <v>73</v>
      </c>
      <c r="C48" s="167"/>
      <c r="D48" s="167"/>
      <c r="E48" s="168"/>
      <c r="F48" s="168"/>
      <c r="G48" s="168"/>
    </row>
    <row r="49" spans="1:20" ht="32.25" hidden="1" customHeight="1" x14ac:dyDescent="0.2">
      <c r="A49" s="15" t="s">
        <v>24</v>
      </c>
      <c r="B49" s="16" t="s">
        <v>22</v>
      </c>
      <c r="C49" s="35"/>
      <c r="D49" s="36"/>
      <c r="E49" s="15" t="s">
        <v>3</v>
      </c>
      <c r="F49" s="52" t="s">
        <v>4</v>
      </c>
      <c r="G49" s="15" t="s">
        <v>13</v>
      </c>
      <c r="H49" s="15" t="s">
        <v>6</v>
      </c>
      <c r="I49" s="15" t="s">
        <v>39</v>
      </c>
    </row>
    <row r="50" spans="1:20" ht="17.25" hidden="1" customHeight="1" x14ac:dyDescent="0.2">
      <c r="A50" s="4"/>
      <c r="B50" s="270" t="s">
        <v>110</v>
      </c>
      <c r="C50" s="271"/>
      <c r="D50" s="272"/>
      <c r="E50" s="171"/>
      <c r="F50" s="47">
        <f ca="1">F38</f>
        <v>46084</v>
      </c>
      <c r="G50" s="53">
        <f>G38</f>
        <v>300000000</v>
      </c>
      <c r="H50" s="178">
        <f>G50</f>
        <v>300000000</v>
      </c>
      <c r="I50" s="178"/>
    </row>
    <row r="51" spans="1:20" ht="17.25" hidden="1" customHeight="1" x14ac:dyDescent="0.2">
      <c r="A51" s="17" t="s">
        <v>25</v>
      </c>
      <c r="B51" s="270" t="s">
        <v>159</v>
      </c>
      <c r="C51" s="271"/>
      <c r="D51" s="272"/>
      <c r="E51" s="55">
        <v>0.1</v>
      </c>
      <c r="F51" s="47">
        <f ca="1">F39</f>
        <v>46089</v>
      </c>
      <c r="G51" s="48">
        <f>G$26*$E51-G50</f>
        <v>3049433024.0071602</v>
      </c>
      <c r="H51" s="178">
        <f>G51</f>
        <v>3049433024.0071602</v>
      </c>
      <c r="I51" s="178"/>
    </row>
    <row r="52" spans="1:20" ht="17.25" hidden="1" customHeight="1" x14ac:dyDescent="0.2">
      <c r="A52" s="288" t="s">
        <v>26</v>
      </c>
      <c r="B52" s="290" t="s">
        <v>103</v>
      </c>
      <c r="C52" s="291"/>
      <c r="D52" s="292"/>
      <c r="E52" s="55">
        <v>0.2</v>
      </c>
      <c r="F52" s="47">
        <f ca="1">IF(WEEKDAY($F$50+24)=1,$F$50+25,$F$50+24)</f>
        <v>46108</v>
      </c>
      <c r="G52" s="48">
        <f>E52*G26</f>
        <v>6698866048.0143204</v>
      </c>
      <c r="H52" s="44">
        <f>G52</f>
        <v>6698866048.0143204</v>
      </c>
      <c r="I52" s="44"/>
    </row>
    <row r="53" spans="1:20" ht="17.25" hidden="1" customHeight="1" x14ac:dyDescent="0.2">
      <c r="A53" s="289"/>
      <c r="B53" s="290" t="s">
        <v>123</v>
      </c>
      <c r="C53" s="291"/>
      <c r="D53" s="292"/>
      <c r="E53" s="55">
        <v>0.7</v>
      </c>
      <c r="F53" s="47">
        <f ca="1">IF(WEEKDAY($F$50+25)=1,$F$50+26,$F$50+25)</f>
        <v>46109</v>
      </c>
      <c r="G53" s="48">
        <f>E53*G26</f>
        <v>23446031168.050121</v>
      </c>
      <c r="H53" s="44"/>
      <c r="I53" s="44">
        <f>G53</f>
        <v>23446031168.050121</v>
      </c>
    </row>
    <row r="54" spans="1:20" ht="17.25" hidden="1" customHeight="1" x14ac:dyDescent="0.2">
      <c r="A54" s="4" t="s">
        <v>27</v>
      </c>
      <c r="B54" s="57" t="s">
        <v>38</v>
      </c>
      <c r="C54" s="273" t="str">
        <f>IF(C6="Hoàn thiện","D+340 ngày","D+280 ngày")</f>
        <v>D+280 ngày</v>
      </c>
      <c r="D54" s="274"/>
      <c r="E54" s="46" t="s">
        <v>32</v>
      </c>
      <c r="F54" s="47">
        <f>F44</f>
        <v>46075</v>
      </c>
      <c r="G54" s="48">
        <f>G27</f>
        <v>174570821</v>
      </c>
      <c r="H54" s="178">
        <f>G54</f>
        <v>174570821</v>
      </c>
      <c r="I54" s="7"/>
    </row>
    <row r="55" spans="1:20" ht="49.5" hidden="1" customHeight="1" x14ac:dyDescent="0.2">
      <c r="A55" s="4" t="s">
        <v>28</v>
      </c>
      <c r="B55" s="270" t="s">
        <v>37</v>
      </c>
      <c r="C55" s="271"/>
      <c r="D55" s="272"/>
      <c r="E55" s="172"/>
      <c r="F55" s="47"/>
      <c r="G55" s="53"/>
      <c r="H55" s="7"/>
      <c r="I55" s="7"/>
    </row>
    <row r="56" spans="1:20" ht="17.25" hidden="1" customHeight="1" x14ac:dyDescent="0.2">
      <c r="A56" s="293" t="s">
        <v>5</v>
      </c>
      <c r="B56" s="293"/>
      <c r="C56" s="293"/>
      <c r="D56" s="293"/>
      <c r="E56" s="173">
        <f>SUM(E51:E54)</f>
        <v>1</v>
      </c>
      <c r="F56" s="174"/>
      <c r="G56" s="174">
        <f>SUM(G50:G54)</f>
        <v>33668901061.071602</v>
      </c>
      <c r="H56" s="174">
        <f>SUM(H50:H55)</f>
        <v>10222869893.021481</v>
      </c>
      <c r="I56" s="174">
        <f>SUM(I50:I55)</f>
        <v>23446031168.050121</v>
      </c>
      <c r="J56" s="67" t="b">
        <f>EXACT(G56,G28)</f>
        <v>1</v>
      </c>
    </row>
    <row r="57" spans="1:20" ht="17.25" hidden="1" customHeight="1" x14ac:dyDescent="0.2">
      <c r="I57" s="179">
        <f>I56+H56</f>
        <v>33668901061.071602</v>
      </c>
      <c r="J57" s="67" t="b">
        <f>EXACT(I57,G56)</f>
        <v>1</v>
      </c>
    </row>
    <row r="58" spans="1:20" ht="17.25" hidden="1" customHeight="1" x14ac:dyDescent="0.2">
      <c r="A58" s="180">
        <v>3</v>
      </c>
      <c r="B58" s="181" t="s">
        <v>121</v>
      </c>
      <c r="C58" s="182"/>
      <c r="D58" s="182"/>
      <c r="E58" s="183"/>
      <c r="F58" s="183"/>
      <c r="G58" s="183"/>
      <c r="R58" s="8"/>
      <c r="S58" s="8"/>
      <c r="T58" s="8"/>
    </row>
    <row r="59" spans="1:20" ht="34.5" hidden="1" customHeight="1" x14ac:dyDescent="0.2">
      <c r="A59" s="15" t="s">
        <v>24</v>
      </c>
      <c r="B59" s="294" t="s">
        <v>22</v>
      </c>
      <c r="C59" s="295"/>
      <c r="D59" s="295"/>
      <c r="E59" s="15" t="s">
        <v>3</v>
      </c>
      <c r="F59" s="52" t="s">
        <v>4</v>
      </c>
      <c r="G59" s="15" t="s">
        <v>13</v>
      </c>
      <c r="R59" s="8"/>
      <c r="S59" s="8"/>
      <c r="T59" s="8"/>
    </row>
    <row r="60" spans="1:20" ht="24.75" hidden="1" customHeight="1" x14ac:dyDescent="0.2">
      <c r="A60" s="4"/>
      <c r="B60" s="270" t="s">
        <v>110</v>
      </c>
      <c r="C60" s="271"/>
      <c r="D60" s="272"/>
      <c r="E60" s="53"/>
      <c r="F60" s="140">
        <f ca="1">F38</f>
        <v>46084</v>
      </c>
      <c r="G60" s="54">
        <f>G38</f>
        <v>300000000</v>
      </c>
      <c r="R60" s="8"/>
      <c r="S60" s="8"/>
      <c r="T60" s="8"/>
    </row>
    <row r="61" spans="1:20" ht="24.75" hidden="1" customHeight="1" x14ac:dyDescent="0.2">
      <c r="A61" s="4" t="s">
        <v>25</v>
      </c>
      <c r="B61" s="270" t="s">
        <v>159</v>
      </c>
      <c r="C61" s="271"/>
      <c r="D61" s="272"/>
      <c r="E61" s="55">
        <v>0.1</v>
      </c>
      <c r="F61" s="140">
        <f ca="1">F39</f>
        <v>46089</v>
      </c>
      <c r="G61" s="54">
        <f ca="1">E61*(G31+G32)-G60</f>
        <v>3018586047.8744082</v>
      </c>
      <c r="I61" s="29"/>
      <c r="R61" s="8"/>
      <c r="S61" s="8"/>
      <c r="T61" s="8"/>
    </row>
    <row r="62" spans="1:20" ht="24.75" hidden="1" customHeight="1" x14ac:dyDescent="0.2">
      <c r="A62" s="109" t="s">
        <v>26</v>
      </c>
      <c r="B62" s="290" t="s">
        <v>101</v>
      </c>
      <c r="C62" s="291"/>
      <c r="D62" s="292"/>
      <c r="E62" s="55">
        <v>0.9</v>
      </c>
      <c r="F62" s="141">
        <f ca="1">IF(WEEKDAY($F$60+25)=1,$F$60+24,$F$60+25)</f>
        <v>46109</v>
      </c>
      <c r="G62" s="54">
        <f ca="1">E62*(G31+G32)</f>
        <v>29867274430.869671</v>
      </c>
      <c r="H62" s="56"/>
      <c r="I62" s="29"/>
      <c r="R62" s="8"/>
      <c r="S62" s="8"/>
      <c r="T62" s="8"/>
    </row>
    <row r="63" spans="1:20" s="9" customFormat="1" ht="24.75" hidden="1" customHeight="1" x14ac:dyDescent="0.2">
      <c r="A63" s="111" t="s">
        <v>27</v>
      </c>
      <c r="B63" s="57" t="s">
        <v>38</v>
      </c>
      <c r="C63" s="273" t="str">
        <f>IF(C6="Hoàn thiện","D+340 ngày","D+280 ngày")</f>
        <v>D+280 ngày</v>
      </c>
      <c r="D63" s="274"/>
      <c r="E63" s="55" t="s">
        <v>32</v>
      </c>
      <c r="F63" s="141">
        <f>F44</f>
        <v>46075</v>
      </c>
      <c r="G63" s="58">
        <f>G33</f>
        <v>174570821</v>
      </c>
      <c r="H63" s="8"/>
      <c r="I63" s="8"/>
      <c r="K63" s="8"/>
    </row>
    <row r="64" spans="1:20" s="9" customFormat="1" ht="32.25" hidden="1" customHeight="1" x14ac:dyDescent="0.2">
      <c r="A64" s="111" t="s">
        <v>28</v>
      </c>
      <c r="B64" s="270" t="s">
        <v>37</v>
      </c>
      <c r="C64" s="271"/>
      <c r="D64" s="272"/>
      <c r="E64" s="55"/>
      <c r="F64" s="141"/>
      <c r="G64" s="54"/>
      <c r="H64" s="8"/>
      <c r="I64" s="8"/>
      <c r="K64" s="8"/>
    </row>
    <row r="65" spans="1:20" s="9" customFormat="1" ht="17.25" hidden="1" customHeight="1" x14ac:dyDescent="0.2">
      <c r="A65" s="285" t="s">
        <v>5</v>
      </c>
      <c r="B65" s="286"/>
      <c r="C65" s="286"/>
      <c r="D65" s="287"/>
      <c r="E65" s="174"/>
      <c r="F65" s="174"/>
      <c r="G65" s="174">
        <f ca="1">SUM(G60:G63)</f>
        <v>33360431299.74408</v>
      </c>
      <c r="I65" s="157"/>
      <c r="J65" s="229">
        <f ca="1">G65-G30</f>
        <v>0</v>
      </c>
      <c r="K65" s="8"/>
      <c r="L65" s="8"/>
      <c r="M65" s="8"/>
      <c r="R65" s="184"/>
      <c r="S65" s="184"/>
      <c r="T65" s="184"/>
    </row>
    <row r="66" spans="1:20" s="9" customFormat="1" ht="17.25" customHeight="1" x14ac:dyDescent="0.2">
      <c r="A66" s="176"/>
      <c r="B66" s="177"/>
      <c r="C66" s="177"/>
      <c r="D66" s="177"/>
      <c r="E66" s="177"/>
      <c r="F66" s="177"/>
      <c r="G66" s="177"/>
      <c r="H66" s="185"/>
      <c r="I66" s="186"/>
      <c r="K66" s="8"/>
      <c r="L66" s="8"/>
      <c r="M66" s="8"/>
      <c r="R66" s="184"/>
      <c r="S66" s="184"/>
      <c r="T66" s="184"/>
    </row>
    <row r="67" spans="1:20" s="9" customFormat="1" ht="75.75" customHeight="1" x14ac:dyDescent="0.2">
      <c r="A67" s="298" t="s">
        <v>33</v>
      </c>
      <c r="B67" s="299"/>
      <c r="C67" s="299"/>
      <c r="D67" s="299"/>
      <c r="E67" s="299"/>
      <c r="F67" s="299"/>
      <c r="G67" s="299"/>
      <c r="H67" s="8"/>
      <c r="I67" s="8"/>
      <c r="K67" s="8"/>
      <c r="L67" s="8"/>
      <c r="M67" s="8"/>
      <c r="R67" s="184"/>
      <c r="S67" s="184"/>
      <c r="T67" s="184"/>
    </row>
    <row r="68" spans="1:20" s="9" customFormat="1" ht="51" customHeight="1" x14ac:dyDescent="0.2">
      <c r="A68" s="300" t="s">
        <v>74</v>
      </c>
      <c r="B68" s="300"/>
      <c r="C68" s="300"/>
      <c r="D68" s="300"/>
      <c r="E68" s="300"/>
      <c r="F68" s="300"/>
      <c r="G68" s="300"/>
      <c r="H68" s="8"/>
      <c r="I68" s="8"/>
      <c r="K68" s="8"/>
      <c r="L68" s="8"/>
      <c r="M68" s="8"/>
      <c r="R68" s="184"/>
      <c r="S68" s="184"/>
      <c r="T68" s="184"/>
    </row>
    <row r="69" spans="1:20" ht="17.25" customHeight="1" x14ac:dyDescent="0.2">
      <c r="B69" s="187" t="s">
        <v>7</v>
      </c>
      <c r="C69" s="154"/>
      <c r="D69" s="296" t="s">
        <v>35</v>
      </c>
      <c r="E69" s="296"/>
      <c r="F69" s="296" t="s">
        <v>8</v>
      </c>
      <c r="G69" s="296"/>
    </row>
    <row r="70" spans="1:20" ht="17.25" customHeight="1" x14ac:dyDescent="0.2">
      <c r="B70" s="77" t="s">
        <v>9</v>
      </c>
      <c r="D70" s="297" t="s">
        <v>9</v>
      </c>
      <c r="E70" s="297"/>
      <c r="F70" s="297" t="s">
        <v>9</v>
      </c>
      <c r="G70" s="297"/>
    </row>
    <row r="71" spans="1:20" s="9" customFormat="1" ht="17.25" customHeight="1" x14ac:dyDescent="0.2">
      <c r="A71" s="77"/>
      <c r="B71" s="8"/>
      <c r="C71" s="8"/>
      <c r="D71" s="8"/>
      <c r="E71" s="8"/>
      <c r="F71" s="8"/>
      <c r="G71" s="8"/>
      <c r="H71" s="8"/>
      <c r="I71" s="8"/>
      <c r="K71" s="8"/>
      <c r="L71" s="8"/>
      <c r="M71" s="8"/>
      <c r="R71" s="184"/>
      <c r="S71" s="184"/>
      <c r="T71" s="184"/>
    </row>
    <row r="73" spans="1:20" x14ac:dyDescent="0.2">
      <c r="A73" s="8"/>
    </row>
    <row r="74" spans="1:20" x14ac:dyDescent="0.2">
      <c r="A74" s="8"/>
    </row>
    <row r="75" spans="1:20" ht="17.25" customHeight="1" x14ac:dyDescent="0.2">
      <c r="A75" s="8"/>
    </row>
    <row r="76" spans="1:20" ht="17.25" customHeight="1" x14ac:dyDescent="0.2">
      <c r="A76" s="8"/>
    </row>
    <row r="77" spans="1:20" x14ac:dyDescent="0.2">
      <c r="A77" s="8"/>
    </row>
    <row r="78" spans="1:20" x14ac:dyDescent="0.2">
      <c r="A78" s="8"/>
    </row>
    <row r="79" spans="1:20" x14ac:dyDescent="0.2">
      <c r="A79" s="8"/>
    </row>
  </sheetData>
  <protectedRanges>
    <protectedRange sqref="E27:F27 E24:F24 E12:F22" name="Range1"/>
    <protectedRange sqref="E9:E11" name="Range1_1_1_1_1"/>
    <protectedRange sqref="E23:G23 E7:G7" name="Range1_1_1_1"/>
    <protectedRange sqref="C4:C5" name="Range1_1_1_2"/>
    <protectedRange sqref="G24" name="Range1_1"/>
  </protectedRanges>
  <mergeCells count="57">
    <mergeCell ref="B15:F15"/>
    <mergeCell ref="B29:F29"/>
    <mergeCell ref="B43:D43"/>
    <mergeCell ref="B53:D53"/>
    <mergeCell ref="B39:D39"/>
    <mergeCell ref="B40:D40"/>
    <mergeCell ref="B41:D41"/>
    <mergeCell ref="B42:D42"/>
    <mergeCell ref="B45:D45"/>
    <mergeCell ref="A46:D46"/>
    <mergeCell ref="A52:A53"/>
    <mergeCell ref="B51:D51"/>
    <mergeCell ref="A34:G34"/>
    <mergeCell ref="C44:D44"/>
    <mergeCell ref="B50:D50"/>
    <mergeCell ref="B52:D52"/>
    <mergeCell ref="D70:E70"/>
    <mergeCell ref="F70:G70"/>
    <mergeCell ref="A56:D56"/>
    <mergeCell ref="A67:G67"/>
    <mergeCell ref="A68:G68"/>
    <mergeCell ref="B62:D62"/>
    <mergeCell ref="C63:D63"/>
    <mergeCell ref="B64:D64"/>
    <mergeCell ref="A65:D65"/>
    <mergeCell ref="B60:D60"/>
    <mergeCell ref="B61:D61"/>
    <mergeCell ref="B59:D59"/>
    <mergeCell ref="D69:E69"/>
    <mergeCell ref="F69:G69"/>
    <mergeCell ref="C54:D54"/>
    <mergeCell ref="B28:F28"/>
    <mergeCell ref="B30:F30"/>
    <mergeCell ref="B31:F31"/>
    <mergeCell ref="B32:F32"/>
    <mergeCell ref="B33:F33"/>
    <mergeCell ref="A1:G1"/>
    <mergeCell ref="A2:G2"/>
    <mergeCell ref="B9:F9"/>
    <mergeCell ref="B10:F10"/>
    <mergeCell ref="B8:F8"/>
    <mergeCell ref="B7:F7"/>
    <mergeCell ref="B11:F11"/>
    <mergeCell ref="B55:D55"/>
    <mergeCell ref="A17:A18"/>
    <mergeCell ref="A12:A14"/>
    <mergeCell ref="B12:F12"/>
    <mergeCell ref="B13:F13"/>
    <mergeCell ref="B14:F14"/>
    <mergeCell ref="B24:F24"/>
    <mergeCell ref="B38:D38"/>
    <mergeCell ref="B16:F16"/>
    <mergeCell ref="B17:F17"/>
    <mergeCell ref="B18:F18"/>
    <mergeCell ref="B25:F25"/>
    <mergeCell ref="B26:F26"/>
    <mergeCell ref="B27:F27"/>
  </mergeCells>
  <phoneticPr fontId="10" type="noConversion"/>
  <dataValidations count="5">
    <dataValidation type="list" allowBlank="1" showInputMessage="1" showErrorMessage="1" sqref="C6" xr:uid="{00000000-0002-0000-0000-000000000000}">
      <formula1>"Hoàn thiện,Thô xây luôn"</formula1>
    </dataValidation>
    <dataValidation type="list" allowBlank="1" showInputMessage="1" showErrorMessage="1" sqref="G12" xr:uid="{00000000-0002-0000-0000-000001000000}">
      <mc:AlternateContent xmlns:x12ac="http://schemas.microsoft.com/office/spreadsheetml/2011/1/ac" xmlns:mc="http://schemas.openxmlformats.org/markup-compatibility/2006">
        <mc:Choice Requires="x12ac">
          <x12ac:list>0,"3,5%"</x12ac:list>
        </mc:Choice>
        <mc:Fallback>
          <formula1>"0,3,5%"</formula1>
        </mc:Fallback>
      </mc:AlternateContent>
    </dataValidation>
    <dataValidation type="list" allowBlank="1" showInputMessage="1" showErrorMessage="1" sqref="G14" xr:uid="{00000000-0002-0000-0000-000002000000}">
      <mc:AlternateContent xmlns:x12ac="http://schemas.microsoft.com/office/spreadsheetml/2011/1/ac" xmlns:mc="http://schemas.openxmlformats.org/markup-compatibility/2006">
        <mc:Choice Requires="x12ac">
          <x12ac:list>0,"10,5%"</x12ac:list>
        </mc:Choice>
        <mc:Fallback>
          <formula1>"0,10,5%"</formula1>
        </mc:Fallback>
      </mc:AlternateContent>
    </dataValidation>
    <dataValidation type="list" allowBlank="1" showInputMessage="1" showErrorMessage="1" sqref="G15" xr:uid="{00000000-0002-0000-0000-000003000000}">
      <mc:AlternateContent xmlns:x12ac="http://schemas.microsoft.com/office/spreadsheetml/2011/1/ac" xmlns:mc="http://schemas.openxmlformats.org/markup-compatibility/2006">
        <mc:Choice Requires="x12ac">
          <x12ac:list>0,"0,5%"</x12ac:list>
        </mc:Choice>
        <mc:Fallback>
          <formula1>"0,0,5%"</formula1>
        </mc:Fallback>
      </mc:AlternateContent>
    </dataValidation>
    <dataValidation type="list" allowBlank="1" showInputMessage="1" showErrorMessage="1" sqref="G16" xr:uid="{00000000-0002-0000-0000-000004000000}">
      <formula1>"0,0.15%,0.2%,0.25%"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879B2-92DD-412D-AC42-25212B98DDDF}">
  <dimension ref="A1:T79"/>
  <sheetViews>
    <sheetView topLeftCell="A7" zoomScaleNormal="70" workbookViewId="0">
      <selection activeCell="G22" sqref="G22"/>
    </sheetView>
  </sheetViews>
  <sheetFormatPr baseColWidth="10" defaultColWidth="9.33203125" defaultRowHeight="16" x14ac:dyDescent="0.2"/>
  <cols>
    <col min="1" max="1" width="8.6640625" style="77" customWidth="1"/>
    <col min="2" max="2" width="50.6640625" style="8" customWidth="1"/>
    <col min="3" max="3" width="19.33203125" style="8" customWidth="1"/>
    <col min="4" max="4" width="19.6640625" style="8" customWidth="1"/>
    <col min="5" max="5" width="21.6640625" style="8" customWidth="1"/>
    <col min="6" max="6" width="19.6640625" style="8" customWidth="1"/>
    <col min="7" max="7" width="35.1640625" style="8" customWidth="1"/>
    <col min="8" max="9" width="28.6640625" style="8" customWidth="1"/>
    <col min="10" max="10" width="16.6640625" style="9" customWidth="1"/>
    <col min="11" max="11" width="14.5" style="8" customWidth="1"/>
    <col min="12" max="12" width="10.33203125" style="8" customWidth="1"/>
    <col min="13" max="13" width="18.5" style="8" customWidth="1"/>
    <col min="14" max="14" width="16.6640625" style="8" customWidth="1"/>
    <col min="15" max="15" width="14.5" style="8" customWidth="1"/>
    <col min="16" max="16" width="21.5" style="8" customWidth="1"/>
    <col min="17" max="17" width="15.6640625" style="8" customWidth="1"/>
    <col min="18" max="18" width="19.33203125" style="10" customWidth="1"/>
    <col min="19" max="19" width="19.6640625" style="10" customWidth="1"/>
    <col min="20" max="20" width="19.33203125" style="10" customWidth="1"/>
    <col min="21" max="16384" width="9.33203125" style="8"/>
  </cols>
  <sheetData>
    <row r="1" spans="1:20" ht="96" customHeight="1" x14ac:dyDescent="0.2">
      <c r="A1" s="245" t="s">
        <v>125</v>
      </c>
      <c r="B1" s="245"/>
      <c r="C1" s="245"/>
      <c r="D1" s="245"/>
      <c r="E1" s="245"/>
      <c r="F1" s="245"/>
      <c r="G1" s="245"/>
    </row>
    <row r="2" spans="1:20" ht="20.25" customHeight="1" x14ac:dyDescent="0.2">
      <c r="A2" s="246"/>
      <c r="B2" s="246"/>
      <c r="C2" s="246"/>
      <c r="D2" s="246"/>
      <c r="E2" s="246"/>
      <c r="F2" s="246"/>
      <c r="G2" s="246"/>
    </row>
    <row r="3" spans="1:20" ht="17.25" customHeight="1" x14ac:dyDescent="0.2">
      <c r="B3" s="142" t="s">
        <v>10</v>
      </c>
      <c r="C3" s="143"/>
      <c r="D3" s="78"/>
      <c r="E3" s="78"/>
      <c r="F3" s="78"/>
      <c r="G3" s="78"/>
      <c r="J3" s="8"/>
    </row>
    <row r="4" spans="1:20" ht="21.75" customHeight="1" x14ac:dyDescent="0.2">
      <c r="B4" s="7" t="s">
        <v>11</v>
      </c>
      <c r="C4" s="144" t="str">
        <f>TTTĐ!C4</f>
        <v>ĐLBM-123</v>
      </c>
      <c r="D4" s="78"/>
      <c r="E4" s="78"/>
      <c r="F4" s="78"/>
      <c r="G4" s="78"/>
    </row>
    <row r="5" spans="1:20" ht="21.75" customHeight="1" x14ac:dyDescent="0.2">
      <c r="B5" s="7" t="s">
        <v>152</v>
      </c>
      <c r="C5" s="233">
        <f>VLOOKUP(C4,Sheet1!A:E,5,0)</f>
        <v>39914809997</v>
      </c>
      <c r="D5" s="78"/>
      <c r="E5" s="78"/>
      <c r="F5" s="79"/>
      <c r="G5" s="79"/>
      <c r="J5" s="71"/>
      <c r="K5" s="72"/>
      <c r="L5" s="72"/>
      <c r="M5" s="72"/>
      <c r="N5" s="72"/>
      <c r="O5" s="72"/>
      <c r="P5" s="72"/>
    </row>
    <row r="6" spans="1:20" ht="21.75" customHeight="1" x14ac:dyDescent="0.2">
      <c r="B6" s="12" t="s">
        <v>36</v>
      </c>
      <c r="C6" s="145" t="s">
        <v>160</v>
      </c>
      <c r="D6" s="60"/>
      <c r="E6" s="60"/>
      <c r="F6" s="60"/>
      <c r="G6" s="78"/>
      <c r="J6" s="71"/>
      <c r="K6" s="72"/>
      <c r="L6" s="72"/>
      <c r="M6" s="72"/>
      <c r="N6" s="72"/>
      <c r="O6" s="72"/>
      <c r="P6" s="72"/>
    </row>
    <row r="7" spans="1:20" ht="17.25" customHeight="1" x14ac:dyDescent="0.2">
      <c r="A7" s="80" t="s">
        <v>12</v>
      </c>
      <c r="B7" s="247" t="s">
        <v>91</v>
      </c>
      <c r="C7" s="248"/>
      <c r="D7" s="248"/>
      <c r="E7" s="248"/>
      <c r="F7" s="249"/>
      <c r="G7" s="80" t="s">
        <v>13</v>
      </c>
      <c r="J7" s="71" t="s">
        <v>14</v>
      </c>
      <c r="K7" s="72"/>
      <c r="L7" s="72"/>
      <c r="M7" s="72"/>
      <c r="N7" s="72"/>
      <c r="O7" s="72"/>
      <c r="P7" s="72"/>
    </row>
    <row r="8" spans="1:20" ht="17.25" customHeight="1" x14ac:dyDescent="0.2">
      <c r="A8" s="109">
        <v>1</v>
      </c>
      <c r="B8" s="250" t="s">
        <v>92</v>
      </c>
      <c r="C8" s="251"/>
      <c r="D8" s="251"/>
      <c r="E8" s="251"/>
      <c r="F8" s="252"/>
      <c r="G8" s="230">
        <f>VLOOKUP(C4,Sheet1!A:H,8,0)</f>
        <v>86618895.657521278</v>
      </c>
      <c r="J8" s="71"/>
      <c r="K8" s="72"/>
      <c r="L8" s="72"/>
      <c r="M8" s="72"/>
      <c r="N8" s="72"/>
      <c r="O8" s="72"/>
      <c r="P8" s="72"/>
    </row>
    <row r="9" spans="1:20" ht="17.25" customHeight="1" x14ac:dyDescent="0.2">
      <c r="A9" s="4">
        <v>2</v>
      </c>
      <c r="B9" s="253" t="s">
        <v>56</v>
      </c>
      <c r="C9" s="254"/>
      <c r="D9" s="254"/>
      <c r="E9" s="254"/>
      <c r="F9" s="255"/>
      <c r="G9" s="82">
        <f>VLOOKUP(C4,Sheet1!A:G,7,0)</f>
        <v>422.8</v>
      </c>
      <c r="J9" s="146"/>
      <c r="K9" s="146"/>
      <c r="L9" s="146"/>
      <c r="M9" s="146"/>
      <c r="N9" s="72"/>
      <c r="O9" s="72"/>
      <c r="P9" s="72"/>
    </row>
    <row r="10" spans="1:20" ht="17.25" customHeight="1" x14ac:dyDescent="0.2">
      <c r="A10" s="4">
        <v>3</v>
      </c>
      <c r="B10" s="253" t="s">
        <v>15</v>
      </c>
      <c r="C10" s="254"/>
      <c r="D10" s="254"/>
      <c r="E10" s="254"/>
      <c r="F10" s="255"/>
      <c r="G10" s="82">
        <f>VLOOKUP(C4,Sheet1!A:F,6,0)</f>
        <v>136</v>
      </c>
      <c r="J10" s="72"/>
      <c r="K10" s="72"/>
      <c r="L10" s="72"/>
      <c r="M10" s="72"/>
      <c r="N10" s="72"/>
      <c r="O10" s="72"/>
      <c r="P10" s="72"/>
    </row>
    <row r="11" spans="1:20" ht="17.25" customHeight="1" x14ac:dyDescent="0.2">
      <c r="A11" s="17">
        <v>4</v>
      </c>
      <c r="B11" s="253" t="s">
        <v>90</v>
      </c>
      <c r="C11" s="254"/>
      <c r="D11" s="254"/>
      <c r="E11" s="254"/>
      <c r="F11" s="255"/>
      <c r="G11" s="83">
        <v>40035060</v>
      </c>
      <c r="J11" s="72"/>
      <c r="K11" s="72"/>
      <c r="L11" s="72"/>
      <c r="M11" s="72"/>
      <c r="N11" s="72"/>
      <c r="O11" s="72"/>
      <c r="P11" s="72"/>
    </row>
    <row r="12" spans="1:20" s="200" customFormat="1" ht="16.5" customHeight="1" x14ac:dyDescent="0.2">
      <c r="A12" s="256">
        <v>5</v>
      </c>
      <c r="B12" s="259" t="s">
        <v>189</v>
      </c>
      <c r="C12" s="260"/>
      <c r="D12" s="260"/>
      <c r="E12" s="260"/>
      <c r="F12" s="261"/>
      <c r="G12" s="194">
        <v>4.4999999999999998E-2</v>
      </c>
      <c r="H12" s="199"/>
      <c r="L12" s="201"/>
      <c r="R12" s="202"/>
      <c r="S12" s="202"/>
      <c r="T12" s="202"/>
    </row>
    <row r="13" spans="1:20" s="200" customFormat="1" ht="17.25" customHeight="1" x14ac:dyDescent="0.2">
      <c r="A13" s="257"/>
      <c r="B13" s="259" t="s">
        <v>53</v>
      </c>
      <c r="C13" s="260"/>
      <c r="D13" s="260"/>
      <c r="E13" s="260"/>
      <c r="F13" s="261"/>
      <c r="G13" s="210">
        <v>0</v>
      </c>
      <c r="H13" s="205"/>
      <c r="L13" s="201"/>
      <c r="R13" s="202"/>
      <c r="S13" s="202"/>
      <c r="T13" s="202"/>
    </row>
    <row r="14" spans="1:20" s="23" customFormat="1" ht="17.25" customHeight="1" x14ac:dyDescent="0.2">
      <c r="A14" s="258"/>
      <c r="B14" s="262" t="s">
        <v>122</v>
      </c>
      <c r="C14" s="263"/>
      <c r="D14" s="263"/>
      <c r="E14" s="263"/>
      <c r="F14" s="264"/>
      <c r="G14" s="194">
        <v>0</v>
      </c>
      <c r="H14" s="96"/>
      <c r="J14" s="67"/>
      <c r="M14" s="147"/>
      <c r="R14" s="69"/>
      <c r="S14" s="69"/>
      <c r="T14" s="69"/>
    </row>
    <row r="15" spans="1:20" s="86" customFormat="1" ht="17.25" customHeight="1" x14ac:dyDescent="0.2">
      <c r="A15" s="91">
        <v>6</v>
      </c>
      <c r="B15" s="242" t="s">
        <v>124</v>
      </c>
      <c r="C15" s="243"/>
      <c r="D15" s="243"/>
      <c r="E15" s="243"/>
      <c r="F15" s="244"/>
      <c r="G15" s="84">
        <v>5.0000000000000001E-3</v>
      </c>
      <c r="H15" s="85" t="s">
        <v>100</v>
      </c>
      <c r="J15" s="89"/>
      <c r="M15" s="90"/>
      <c r="R15" s="88"/>
      <c r="S15" s="88"/>
      <c r="T15" s="88"/>
    </row>
    <row r="16" spans="1:20" s="196" customFormat="1" ht="17.25" customHeight="1" x14ac:dyDescent="0.2">
      <c r="A16" s="208">
        <v>7</v>
      </c>
      <c r="B16" s="259" t="s">
        <v>54</v>
      </c>
      <c r="C16" s="260"/>
      <c r="D16" s="260"/>
      <c r="E16" s="260"/>
      <c r="F16" s="261"/>
      <c r="G16" s="209">
        <v>0</v>
      </c>
      <c r="H16" s="195"/>
      <c r="J16" s="197"/>
      <c r="M16" s="203"/>
      <c r="R16" s="198"/>
      <c r="S16" s="198"/>
      <c r="T16" s="198"/>
    </row>
    <row r="17" spans="1:20" s="200" customFormat="1" ht="17.25" customHeight="1" x14ac:dyDescent="0.2">
      <c r="A17" s="265"/>
      <c r="B17" s="259" t="s">
        <v>179</v>
      </c>
      <c r="C17" s="260"/>
      <c r="D17" s="260"/>
      <c r="E17" s="260"/>
      <c r="F17" s="261"/>
      <c r="G17" s="204">
        <v>0.05</v>
      </c>
      <c r="H17" s="205" t="s">
        <v>97</v>
      </c>
      <c r="J17" s="206"/>
      <c r="M17" s="201"/>
      <c r="R17" s="202"/>
      <c r="S17" s="202"/>
      <c r="T17" s="202"/>
    </row>
    <row r="18" spans="1:20" s="200" customFormat="1" ht="17.25" hidden="1" customHeight="1" x14ac:dyDescent="0.2">
      <c r="A18" s="266"/>
      <c r="B18" s="259" t="s">
        <v>55</v>
      </c>
      <c r="C18" s="260"/>
      <c r="D18" s="260"/>
      <c r="E18" s="260"/>
      <c r="F18" s="261"/>
      <c r="G18" s="207" t="e">
        <f>IF(#REF!=9%,(((G8-G20/G9)*(1-G12)*(1-G14)*(1-G15)*(1-G16))*G9)*2.7%,0)</f>
        <v>#REF!</v>
      </c>
      <c r="H18" s="205" t="s">
        <v>97</v>
      </c>
      <c r="J18" s="206"/>
      <c r="M18" s="201"/>
      <c r="R18" s="202"/>
      <c r="S18" s="202"/>
      <c r="T18" s="202"/>
    </row>
    <row r="19" spans="1:20" s="200" customFormat="1" ht="17.25" customHeight="1" x14ac:dyDescent="0.2">
      <c r="A19" s="241"/>
      <c r="B19" s="213" t="s">
        <v>210</v>
      </c>
      <c r="C19" s="376"/>
      <c r="D19" s="376"/>
      <c r="E19" s="376"/>
      <c r="F19" s="377"/>
      <c r="G19" s="378">
        <v>7.0000000000000007E-2</v>
      </c>
      <c r="H19" s="205"/>
      <c r="J19" s="206"/>
      <c r="M19" s="201"/>
      <c r="R19" s="202"/>
      <c r="S19" s="202"/>
      <c r="T19" s="202"/>
    </row>
    <row r="20" spans="1:20" s="23" customFormat="1" ht="17.25" customHeight="1" x14ac:dyDescent="0.2">
      <c r="A20" s="3">
        <v>9</v>
      </c>
      <c r="B20" s="213" t="s">
        <v>57</v>
      </c>
      <c r="C20" s="93"/>
      <c r="D20" s="93"/>
      <c r="E20" s="93"/>
      <c r="F20" s="94"/>
      <c r="G20" s="148">
        <f>TTTĐ!G20</f>
        <v>145000000</v>
      </c>
      <c r="J20" s="67"/>
      <c r="M20" s="68"/>
      <c r="R20" s="69"/>
      <c r="S20" s="69"/>
      <c r="T20" s="69"/>
    </row>
    <row r="21" spans="1:20" s="23" customFormat="1" ht="17.25" customHeight="1" x14ac:dyDescent="0.2">
      <c r="A21" s="97">
        <v>10</v>
      </c>
      <c r="B21" s="98" t="s">
        <v>93</v>
      </c>
      <c r="C21" s="93"/>
      <c r="D21" s="93"/>
      <c r="E21" s="93"/>
      <c r="F21" s="94"/>
      <c r="G21" s="99">
        <f>(G8-G20/G9)*(1-G12)*(1-G14)*(1-G15)*(1-G16)*(1-G17)*(1-G19)</f>
        <v>72430707.199181259</v>
      </c>
      <c r="H21" s="100"/>
      <c r="I21" s="100"/>
      <c r="J21" s="67"/>
      <c r="M21" s="68"/>
      <c r="R21" s="69"/>
      <c r="S21" s="69"/>
      <c r="T21" s="69"/>
    </row>
    <row r="22" spans="1:20" s="23" customFormat="1" ht="17.25" customHeight="1" x14ac:dyDescent="0.2">
      <c r="A22" s="97">
        <v>11</v>
      </c>
      <c r="B22" s="98" t="s">
        <v>94</v>
      </c>
      <c r="C22" s="93"/>
      <c r="D22" s="93"/>
      <c r="E22" s="93"/>
      <c r="F22" s="94"/>
      <c r="G22" s="99"/>
      <c r="H22" s="102"/>
      <c r="J22" s="67"/>
      <c r="M22" s="68"/>
      <c r="R22" s="69"/>
      <c r="S22" s="69"/>
      <c r="T22" s="69"/>
    </row>
    <row r="23" spans="1:20" ht="17.25" customHeight="1" x14ac:dyDescent="0.2">
      <c r="A23" s="64" t="s">
        <v>18</v>
      </c>
      <c r="B23" s="142" t="s">
        <v>41</v>
      </c>
      <c r="C23" s="143"/>
      <c r="D23" s="143"/>
      <c r="E23" s="149"/>
      <c r="F23" s="150"/>
      <c r="G23" s="151" t="s">
        <v>19</v>
      </c>
      <c r="H23" s="191"/>
      <c r="I23" s="29"/>
      <c r="J23" s="71" t="s">
        <v>16</v>
      </c>
      <c r="K23" s="72"/>
      <c r="L23" s="72"/>
      <c r="M23" s="73">
        <v>5.0000000000000001E-3</v>
      </c>
      <c r="N23" s="72" t="s">
        <v>17</v>
      </c>
      <c r="O23" s="72"/>
      <c r="P23" s="72"/>
    </row>
    <row r="24" spans="1:20" s="154" customFormat="1" ht="17.25" customHeight="1" x14ac:dyDescent="0.2">
      <c r="A24" s="4">
        <v>1</v>
      </c>
      <c r="B24" s="267" t="s">
        <v>87</v>
      </c>
      <c r="C24" s="268"/>
      <c r="D24" s="268"/>
      <c r="E24" s="268"/>
      <c r="F24" s="269"/>
      <c r="G24" s="152">
        <f>G21*G9</f>
        <v>30623703003.813835</v>
      </c>
      <c r="H24" s="153"/>
      <c r="I24" s="118"/>
      <c r="J24" s="155"/>
      <c r="K24" s="146"/>
      <c r="L24" s="146"/>
      <c r="M24" s="146"/>
      <c r="N24" s="146"/>
      <c r="O24" s="146"/>
      <c r="P24" s="146"/>
      <c r="R24" s="122"/>
      <c r="S24" s="122"/>
      <c r="T24" s="122"/>
    </row>
    <row r="25" spans="1:20" ht="17.25" customHeight="1" x14ac:dyDescent="0.2">
      <c r="A25" s="4">
        <v>2</v>
      </c>
      <c r="B25" s="250" t="s">
        <v>20</v>
      </c>
      <c r="C25" s="251"/>
      <c r="D25" s="251"/>
      <c r="E25" s="251"/>
      <c r="F25" s="252"/>
      <c r="G25" s="152">
        <f>(G24-G10*G11)*10%</f>
        <v>2517893484.3813834</v>
      </c>
      <c r="H25" s="102"/>
    </row>
    <row r="26" spans="1:20" ht="17.25" customHeight="1" x14ac:dyDescent="0.2">
      <c r="A26" s="4">
        <v>3</v>
      </c>
      <c r="B26" s="267" t="s">
        <v>86</v>
      </c>
      <c r="C26" s="268"/>
      <c r="D26" s="268"/>
      <c r="E26" s="268"/>
      <c r="F26" s="269"/>
      <c r="G26" s="152">
        <f>G24+G25</f>
        <v>33141596488.195217</v>
      </c>
      <c r="H26" s="49"/>
    </row>
    <row r="27" spans="1:20" ht="17.25" customHeight="1" x14ac:dyDescent="0.2">
      <c r="A27" s="4">
        <v>4</v>
      </c>
      <c r="B27" s="267" t="s">
        <v>2</v>
      </c>
      <c r="C27" s="268"/>
      <c r="D27" s="268"/>
      <c r="E27" s="268"/>
      <c r="F27" s="269"/>
      <c r="G27" s="156">
        <f>VLOOKUP(C4,Sheet1!A:D,4,0)</f>
        <v>174570821</v>
      </c>
      <c r="H27" s="86"/>
      <c r="M27" s="157"/>
    </row>
    <row r="28" spans="1:20" ht="17.25" customHeight="1" x14ac:dyDescent="0.2">
      <c r="A28" s="4">
        <v>5</v>
      </c>
      <c r="B28" s="277" t="s">
        <v>88</v>
      </c>
      <c r="C28" s="278"/>
      <c r="D28" s="278"/>
      <c r="E28" s="278"/>
      <c r="F28" s="279"/>
      <c r="G28" s="158">
        <f>G26+G27</f>
        <v>33316167309.195217</v>
      </c>
      <c r="H28" s="49"/>
    </row>
    <row r="29" spans="1:20" ht="20.5" hidden="1" customHeight="1" x14ac:dyDescent="0.2">
      <c r="A29" s="227" t="s">
        <v>40</v>
      </c>
      <c r="B29" s="280" t="s">
        <v>109</v>
      </c>
      <c r="C29" s="281"/>
      <c r="D29" s="281"/>
      <c r="E29" s="281"/>
      <c r="F29" s="282"/>
      <c r="G29" s="228">
        <f ca="1">S45</f>
        <v>277473836.90020293</v>
      </c>
      <c r="H29" s="159" t="s">
        <v>58</v>
      </c>
    </row>
    <row r="30" spans="1:20" ht="17.25" hidden="1" customHeight="1" x14ac:dyDescent="0.2">
      <c r="A30" s="160">
        <v>1</v>
      </c>
      <c r="B30" s="275" t="s">
        <v>108</v>
      </c>
      <c r="C30" s="276"/>
      <c r="D30" s="276"/>
      <c r="E30" s="276"/>
      <c r="F30" s="276"/>
      <c r="G30" s="158">
        <f ca="1">G31+G32+G33</f>
        <v>33010946088.605</v>
      </c>
      <c r="H30" s="159" t="s">
        <v>58</v>
      </c>
    </row>
    <row r="31" spans="1:20" ht="17.25" hidden="1" customHeight="1" x14ac:dyDescent="0.2">
      <c r="A31" s="4">
        <v>2</v>
      </c>
      <c r="B31" s="283" t="s">
        <v>89</v>
      </c>
      <c r="C31" s="283"/>
      <c r="D31" s="283"/>
      <c r="E31" s="283"/>
      <c r="F31" s="283"/>
      <c r="G31" s="158">
        <f ca="1">((G24/G9)-(G29/G9))*G9</f>
        <v>30346229166.913635</v>
      </c>
      <c r="H31" s="159" t="s">
        <v>58</v>
      </c>
    </row>
    <row r="32" spans="1:20" ht="17" hidden="1" customHeight="1" x14ac:dyDescent="0.2">
      <c r="A32" s="4">
        <v>3</v>
      </c>
      <c r="B32" s="283" t="s">
        <v>1</v>
      </c>
      <c r="C32" s="283"/>
      <c r="D32" s="283"/>
      <c r="E32" s="283"/>
      <c r="F32" s="283"/>
      <c r="G32" s="158">
        <f ca="1">(G31-G10*G11)*10%</f>
        <v>2490146100.6913638</v>
      </c>
      <c r="H32" s="159" t="s">
        <v>58</v>
      </c>
    </row>
    <row r="33" spans="1:20" ht="17.25" hidden="1" customHeight="1" x14ac:dyDescent="0.2">
      <c r="A33" s="4">
        <v>4</v>
      </c>
      <c r="B33" s="283" t="s">
        <v>2</v>
      </c>
      <c r="C33" s="283"/>
      <c r="D33" s="283"/>
      <c r="E33" s="283"/>
      <c r="F33" s="283"/>
      <c r="G33" s="161">
        <f>G27</f>
        <v>174570821</v>
      </c>
      <c r="H33" s="159" t="s">
        <v>58</v>
      </c>
    </row>
    <row r="34" spans="1:20" ht="17.25" hidden="1" customHeight="1" x14ac:dyDescent="0.2">
      <c r="A34" s="284"/>
      <c r="B34" s="284"/>
      <c r="C34" s="284"/>
      <c r="D34" s="284"/>
      <c r="E34" s="284"/>
      <c r="F34" s="284"/>
      <c r="G34" s="284"/>
      <c r="H34" s="49"/>
    </row>
    <row r="35" spans="1:20" ht="17.25" hidden="1" customHeight="1" x14ac:dyDescent="0.2">
      <c r="A35" s="162" t="s">
        <v>21</v>
      </c>
      <c r="B35" s="163" t="s">
        <v>22</v>
      </c>
      <c r="C35" s="164"/>
      <c r="D35" s="164"/>
      <c r="E35" s="164"/>
      <c r="F35" s="164"/>
      <c r="G35" s="164"/>
    </row>
    <row r="36" spans="1:20" ht="17.25" hidden="1" customHeight="1" x14ac:dyDescent="0.2">
      <c r="A36" s="165">
        <v>1</v>
      </c>
      <c r="B36" s="166" t="s">
        <v>23</v>
      </c>
      <c r="C36" s="167"/>
      <c r="D36" s="167"/>
      <c r="E36" s="168"/>
      <c r="F36" s="168"/>
      <c r="G36" s="168"/>
      <c r="L36" s="169" t="s">
        <v>42</v>
      </c>
      <c r="Q36" s="170">
        <v>0.11</v>
      </c>
    </row>
    <row r="37" spans="1:20" ht="34.5" hidden="1" customHeight="1" x14ac:dyDescent="0.2">
      <c r="A37" s="15" t="s">
        <v>24</v>
      </c>
      <c r="B37" s="16" t="s">
        <v>22</v>
      </c>
      <c r="C37" s="35"/>
      <c r="D37" s="36"/>
      <c r="E37" s="15" t="s">
        <v>3</v>
      </c>
      <c r="F37" s="15" t="s">
        <v>4</v>
      </c>
      <c r="G37" s="15" t="s">
        <v>13</v>
      </c>
      <c r="J37" s="103" t="s">
        <v>107</v>
      </c>
      <c r="K37" s="192">
        <f ca="1">F50</f>
        <v>46084</v>
      </c>
      <c r="L37" s="37" t="s">
        <v>24</v>
      </c>
      <c r="M37" s="38" t="s">
        <v>43</v>
      </c>
      <c r="N37" s="38" t="s">
        <v>44</v>
      </c>
      <c r="O37" s="39" t="s">
        <v>45</v>
      </c>
      <c r="P37" s="38" t="s">
        <v>46</v>
      </c>
      <c r="Q37" s="40" t="s">
        <v>47</v>
      </c>
      <c r="R37" s="38" t="s">
        <v>48</v>
      </c>
      <c r="S37" s="38" t="s">
        <v>49</v>
      </c>
      <c r="T37" s="38" t="s">
        <v>50</v>
      </c>
    </row>
    <row r="38" spans="1:20" ht="20.25" hidden="1" customHeight="1" x14ac:dyDescent="0.2">
      <c r="A38" s="4"/>
      <c r="B38" s="270" t="s">
        <v>110</v>
      </c>
      <c r="C38" s="271"/>
      <c r="D38" s="272"/>
      <c r="E38" s="171"/>
      <c r="F38" s="47">
        <f ca="1">TODAY()</f>
        <v>46084</v>
      </c>
      <c r="G38" s="53">
        <v>300000000</v>
      </c>
      <c r="L38" s="4"/>
      <c r="M38" s="41"/>
      <c r="N38" s="7"/>
      <c r="O38" s="7"/>
      <c r="P38" s="42"/>
      <c r="Q38" s="43"/>
      <c r="R38" s="26"/>
      <c r="S38" s="26"/>
      <c r="T38" s="26"/>
    </row>
    <row r="39" spans="1:20" ht="20.25" hidden="1" customHeight="1" x14ac:dyDescent="0.2">
      <c r="A39" s="17" t="s">
        <v>25</v>
      </c>
      <c r="B39" s="270" t="s">
        <v>159</v>
      </c>
      <c r="C39" s="271"/>
      <c r="D39" s="272"/>
      <c r="E39" s="55">
        <v>0.1</v>
      </c>
      <c r="F39" s="47">
        <f ca="1">F38+5</f>
        <v>46089</v>
      </c>
      <c r="G39" s="48">
        <f>E39*G26-G38</f>
        <v>3014159648.8195219</v>
      </c>
      <c r="I39" s="29"/>
      <c r="L39" s="4"/>
      <c r="M39" s="41"/>
      <c r="N39" s="7"/>
      <c r="O39" s="7"/>
      <c r="P39" s="44"/>
      <c r="Q39" s="43"/>
      <c r="R39" s="26"/>
      <c r="S39" s="26"/>
      <c r="T39" s="26"/>
    </row>
    <row r="40" spans="1:20" ht="20.25" hidden="1" customHeight="1" x14ac:dyDescent="0.2">
      <c r="A40" s="109" t="s">
        <v>26</v>
      </c>
      <c r="B40" s="290" t="s">
        <v>101</v>
      </c>
      <c r="C40" s="291"/>
      <c r="D40" s="292"/>
      <c r="E40" s="55">
        <v>0.15</v>
      </c>
      <c r="F40" s="47">
        <f ca="1">IF(WEEKDAY($F$38+25)=1,$F$38+26,$F$38+25)</f>
        <v>46109</v>
      </c>
      <c r="G40" s="48">
        <f>E40*G26</f>
        <v>4971239473.2292824</v>
      </c>
      <c r="H40" s="49"/>
      <c r="I40" s="49"/>
      <c r="L40" s="4"/>
      <c r="M40" s="41"/>
      <c r="N40" s="25"/>
      <c r="O40" s="4"/>
      <c r="P40" s="44"/>
      <c r="Q40" s="43"/>
      <c r="R40" s="45">
        <f>P40-P40*(1/(1+Q40)^O40)</f>
        <v>0</v>
      </c>
      <c r="S40" s="32">
        <f>R40/1.1</f>
        <v>0</v>
      </c>
      <c r="T40" s="45">
        <f>P40-R40</f>
        <v>0</v>
      </c>
    </row>
    <row r="41" spans="1:20" ht="20.25" hidden="1" customHeight="1" x14ac:dyDescent="0.2">
      <c r="A41" s="4" t="s">
        <v>27</v>
      </c>
      <c r="B41" s="270" t="s">
        <v>104</v>
      </c>
      <c r="C41" s="271"/>
      <c r="D41" s="272"/>
      <c r="E41" s="55">
        <v>0.2</v>
      </c>
      <c r="F41" s="47">
        <f ca="1">IF(WEEKDAY($F$38+70)=1,$F$38+71,$F$38+70)</f>
        <v>46154</v>
      </c>
      <c r="G41" s="48">
        <f>E41*G26</f>
        <v>6628319297.6390438</v>
      </c>
      <c r="H41" s="56"/>
      <c r="I41" s="29"/>
      <c r="L41" s="4" t="s">
        <v>27</v>
      </c>
      <c r="M41" s="41">
        <f ca="1">F41</f>
        <v>46154</v>
      </c>
      <c r="N41" s="27">
        <f ca="1">F40</f>
        <v>46109</v>
      </c>
      <c r="O41" s="4">
        <f ca="1">IF(OR(M41-N41&lt;1,N41=""),0,M41-N41)</f>
        <v>45</v>
      </c>
      <c r="P41" s="44">
        <f>G41</f>
        <v>6628319297.6390438</v>
      </c>
      <c r="Q41" s="43">
        <f>ROUNDDOWN($Q$36/365,7)</f>
        <v>3.0130000000000001E-4</v>
      </c>
      <c r="R41" s="45">
        <f ca="1">P41-P41*(1/(1+Q41)^O41)</f>
        <v>89250205.820431709</v>
      </c>
      <c r="S41" s="214">
        <f ca="1">R41/1.1</f>
        <v>81136550.745847002</v>
      </c>
      <c r="T41" s="45">
        <f ca="1">P41-R41</f>
        <v>6539069091.8186121</v>
      </c>
    </row>
    <row r="42" spans="1:20" ht="20.25" hidden="1" customHeight="1" x14ac:dyDescent="0.2">
      <c r="A42" s="4" t="s">
        <v>28</v>
      </c>
      <c r="B42" s="270" t="s">
        <v>105</v>
      </c>
      <c r="C42" s="271"/>
      <c r="D42" s="272"/>
      <c r="E42" s="55">
        <v>0.2</v>
      </c>
      <c r="F42" s="47">
        <f ca="1">IF(WEEKDAY($F$38+130)=1,$F$38+131,$F$38+130)</f>
        <v>46214</v>
      </c>
      <c r="G42" s="48">
        <f>E42*G26</f>
        <v>6628319297.6390438</v>
      </c>
      <c r="L42" s="4" t="s">
        <v>28</v>
      </c>
      <c r="M42" s="41">
        <f ca="1">F42</f>
        <v>46214</v>
      </c>
      <c r="N42" s="27">
        <f ca="1">N41</f>
        <v>46109</v>
      </c>
      <c r="O42" s="4">
        <f ca="1">IF(OR(M42-N42&lt;1,N42=""),0,M42-N42)</f>
        <v>105</v>
      </c>
      <c r="P42" s="44">
        <f>G42</f>
        <v>6628319297.6390438</v>
      </c>
      <c r="Q42" s="43">
        <f>ROUNDDOWN($Q$36/365,7)</f>
        <v>3.0130000000000001E-4</v>
      </c>
      <c r="R42" s="45">
        <f ca="1">P42-P42*(1/(1+Q42)^O42)</f>
        <v>206383890.60168934</v>
      </c>
      <c r="S42" s="214">
        <f ca="1">R42/1.1</f>
        <v>187621718.72880846</v>
      </c>
      <c r="T42" s="45">
        <f ca="1">P42-R42</f>
        <v>6421935407.0373545</v>
      </c>
    </row>
    <row r="43" spans="1:20" ht="20.25" hidden="1" customHeight="1" x14ac:dyDescent="0.2">
      <c r="A43" s="4" t="s">
        <v>29</v>
      </c>
      <c r="B43" s="270" t="s">
        <v>106</v>
      </c>
      <c r="C43" s="271"/>
      <c r="D43" s="272"/>
      <c r="E43" s="55">
        <v>0.1</v>
      </c>
      <c r="F43" s="47">
        <f ca="1">IF(WEEKDAY($F$38+190)=1,$F$38+191,$F$38+190)</f>
        <v>46274</v>
      </c>
      <c r="G43" s="48">
        <f>E43*G26</f>
        <v>3314159648.8195219</v>
      </c>
      <c r="L43" s="4" t="s">
        <v>29</v>
      </c>
      <c r="M43" s="41">
        <f ca="1">F43</f>
        <v>46274</v>
      </c>
      <c r="N43" s="27">
        <f t="shared" ref="N43:N44" ca="1" si="0">N42</f>
        <v>46109</v>
      </c>
      <c r="O43" s="4">
        <f ca="1">IF(OR(M43-N43&lt;1,N43=""),0,M43-N43)</f>
        <v>165</v>
      </c>
      <c r="P43" s="44">
        <f>G43</f>
        <v>3314159648.8195219</v>
      </c>
      <c r="Q43" s="43">
        <f>ROUNDDOWN($Q$36/365,7)</f>
        <v>3.0130000000000001E-4</v>
      </c>
      <c r="R43" s="45">
        <f ca="1">P43-P43*(1/(1+Q43)^O43)</f>
        <v>160709685.75373554</v>
      </c>
      <c r="S43" s="214">
        <f ca="1">R43/1.1</f>
        <v>146099714.32157776</v>
      </c>
      <c r="T43" s="45">
        <f ca="1">P43-R43</f>
        <v>3153449963.0657864</v>
      </c>
    </row>
    <row r="44" spans="1:20" ht="36" hidden="1" customHeight="1" x14ac:dyDescent="0.2">
      <c r="A44" s="4" t="s">
        <v>30</v>
      </c>
      <c r="B44" s="8" t="s">
        <v>38</v>
      </c>
      <c r="C44" s="273" t="str">
        <f>IF(C6="Hoàn thiện","D+340 ngày","D+280 ngày")</f>
        <v>D+280 ngày</v>
      </c>
      <c r="D44" s="274"/>
      <c r="E44" s="46" t="s">
        <v>102</v>
      </c>
      <c r="F44" s="47">
        <f>VLOOKUP(C4:C4,Sheet1!A:J,10,0)</f>
        <v>46075</v>
      </c>
      <c r="G44" s="48">
        <f>25%*G26+G27</f>
        <v>8459969943.0488043</v>
      </c>
      <c r="H44" s="49"/>
      <c r="I44" s="9"/>
      <c r="L44" s="4" t="s">
        <v>30</v>
      </c>
      <c r="M44" s="41">
        <f>F44</f>
        <v>46075</v>
      </c>
      <c r="N44" s="27">
        <f t="shared" ca="1" si="0"/>
        <v>46109</v>
      </c>
      <c r="O44" s="236">
        <f ca="1">IF(OR(M44-N44&lt;1,N44=""),0,M44-N44)-60</f>
        <v>-60</v>
      </c>
      <c r="P44" s="44">
        <f>G44-G27</f>
        <v>8285399122.0488043</v>
      </c>
      <c r="Q44" s="43">
        <f>ROUNDDOWN($Q$36/365,7)</f>
        <v>3.0130000000000001E-4</v>
      </c>
      <c r="R44" s="45">
        <f ca="1">P44-P44*(1/(1+Q44)^O44)</f>
        <v>-151122561.58563328</v>
      </c>
      <c r="S44" s="214">
        <f ca="1">R44/1.1</f>
        <v>-137384146.89603025</v>
      </c>
      <c r="T44" s="45">
        <f ca="1">P44-R44</f>
        <v>8436521683.6344376</v>
      </c>
    </row>
    <row r="45" spans="1:20" ht="36.75" hidden="1" customHeight="1" x14ac:dyDescent="0.2">
      <c r="A45" s="4" t="s">
        <v>31</v>
      </c>
      <c r="B45" s="270" t="s">
        <v>37</v>
      </c>
      <c r="C45" s="271"/>
      <c r="D45" s="272"/>
      <c r="E45" s="172"/>
      <c r="F45" s="47"/>
      <c r="G45" s="53"/>
      <c r="H45" s="49"/>
      <c r="I45" s="9"/>
      <c r="L45" s="18"/>
      <c r="M45" s="19"/>
      <c r="N45" s="19"/>
      <c r="O45" s="19"/>
      <c r="P45" s="50">
        <f>SUM(P39:P44)</f>
        <v>24856197366.146416</v>
      </c>
      <c r="Q45" s="19"/>
      <c r="R45" s="50">
        <f ca="1">SUM(R38:R44)</f>
        <v>305221220.59022331</v>
      </c>
      <c r="S45" s="51">
        <f ca="1">SUM(S38:S44)</f>
        <v>277473836.90020293</v>
      </c>
      <c r="T45" s="50">
        <f ca="1">SUM(T40:T44)</f>
        <v>24550976145.55619</v>
      </c>
    </row>
    <row r="46" spans="1:20" ht="17.25" hidden="1" customHeight="1" x14ac:dyDescent="0.2">
      <c r="A46" s="285" t="s">
        <v>5</v>
      </c>
      <c r="B46" s="286"/>
      <c r="C46" s="286"/>
      <c r="D46" s="287"/>
      <c r="E46" s="173">
        <v>1</v>
      </c>
      <c r="F46" s="174"/>
      <c r="G46" s="174">
        <f>SUM(G38:G44)</f>
        <v>33316167309.195217</v>
      </c>
      <c r="H46" s="175" t="b">
        <f>EXACT(G46,G28)</f>
        <v>1</v>
      </c>
      <c r="J46" s="67"/>
    </row>
    <row r="47" spans="1:20" ht="17.25" hidden="1" customHeight="1" x14ac:dyDescent="0.2">
      <c r="A47" s="176"/>
      <c r="B47" s="177"/>
      <c r="C47" s="177"/>
      <c r="D47" s="177"/>
      <c r="E47" s="177"/>
      <c r="F47" s="177"/>
      <c r="G47" s="177"/>
    </row>
    <row r="48" spans="1:20" ht="17.25" customHeight="1" x14ac:dyDescent="0.2">
      <c r="A48" s="165">
        <v>2</v>
      </c>
      <c r="B48" s="166" t="s">
        <v>188</v>
      </c>
      <c r="C48" s="167"/>
      <c r="D48" s="167"/>
      <c r="E48" s="168"/>
      <c r="F48" s="168"/>
      <c r="G48" s="168"/>
    </row>
    <row r="49" spans="1:20" ht="32.25" customHeight="1" x14ac:dyDescent="0.2">
      <c r="A49" s="15" t="s">
        <v>24</v>
      </c>
      <c r="B49" s="16" t="s">
        <v>22</v>
      </c>
      <c r="C49" s="35"/>
      <c r="D49" s="36"/>
      <c r="E49" s="15" t="s">
        <v>3</v>
      </c>
      <c r="F49" s="52" t="s">
        <v>4</v>
      </c>
      <c r="G49" s="15" t="s">
        <v>13</v>
      </c>
      <c r="H49" s="15" t="s">
        <v>6</v>
      </c>
      <c r="I49" s="15" t="s">
        <v>39</v>
      </c>
    </row>
    <row r="50" spans="1:20" ht="17.25" customHeight="1" x14ac:dyDescent="0.2">
      <c r="A50" s="4"/>
      <c r="B50" s="270" t="s">
        <v>110</v>
      </c>
      <c r="C50" s="271"/>
      <c r="D50" s="272"/>
      <c r="E50" s="171"/>
      <c r="F50" s="47">
        <f ca="1">F38</f>
        <v>46084</v>
      </c>
      <c r="G50" s="53">
        <v>300000000</v>
      </c>
      <c r="H50" s="178">
        <f>G50</f>
        <v>300000000</v>
      </c>
      <c r="I50" s="178"/>
    </row>
    <row r="51" spans="1:20" ht="17.25" customHeight="1" x14ac:dyDescent="0.2">
      <c r="A51" s="17" t="s">
        <v>25</v>
      </c>
      <c r="B51" s="270" t="s">
        <v>159</v>
      </c>
      <c r="C51" s="271"/>
      <c r="D51" s="272"/>
      <c r="E51" s="55">
        <v>0.1</v>
      </c>
      <c r="F51" s="47">
        <f ca="1">F39</f>
        <v>46089</v>
      </c>
      <c r="G51" s="48">
        <f>G$26*$E51-G50</f>
        <v>3014159648.8195219</v>
      </c>
      <c r="H51" s="178">
        <f>G51</f>
        <v>3014159648.8195219</v>
      </c>
      <c r="I51" s="178"/>
    </row>
    <row r="52" spans="1:20" ht="17.25" customHeight="1" x14ac:dyDescent="0.2">
      <c r="A52" s="288" t="s">
        <v>26</v>
      </c>
      <c r="B52" s="290" t="s">
        <v>103</v>
      </c>
      <c r="C52" s="291"/>
      <c r="D52" s="292"/>
      <c r="E52" s="55">
        <v>0.2</v>
      </c>
      <c r="F52" s="47">
        <f ca="1">IF(WEEKDAY($F$50+24)=1,$F$50+25,$F$50+24)</f>
        <v>46108</v>
      </c>
      <c r="G52" s="48">
        <f>E52*G26</f>
        <v>6628319297.6390438</v>
      </c>
      <c r="H52" s="44">
        <f>G52</f>
        <v>6628319297.6390438</v>
      </c>
      <c r="I52" s="44"/>
    </row>
    <row r="53" spans="1:20" ht="17.25" customHeight="1" x14ac:dyDescent="0.2">
      <c r="A53" s="289"/>
      <c r="B53" s="290" t="s">
        <v>123</v>
      </c>
      <c r="C53" s="291"/>
      <c r="D53" s="292"/>
      <c r="E53" s="55">
        <v>0.7</v>
      </c>
      <c r="F53" s="47">
        <f ca="1">IF(WEEKDAY($F$50+25)=1,$F$50+26,$F$50+25)</f>
        <v>46109</v>
      </c>
      <c r="G53" s="48">
        <f>E53*G26</f>
        <v>23199117541.736652</v>
      </c>
      <c r="H53" s="44"/>
      <c r="I53" s="44">
        <f>G53</f>
        <v>23199117541.736652</v>
      </c>
    </row>
    <row r="54" spans="1:20" ht="17.25" customHeight="1" x14ac:dyDescent="0.2">
      <c r="A54" s="4" t="s">
        <v>27</v>
      </c>
      <c r="B54" s="57" t="s">
        <v>38</v>
      </c>
      <c r="C54" s="273" t="str">
        <f>IF(C6="Hoàn thiện","D+340 ngày","D+280 ngày")</f>
        <v>D+280 ngày</v>
      </c>
      <c r="D54" s="274"/>
      <c r="E54" s="46" t="s">
        <v>32</v>
      </c>
      <c r="F54" s="47">
        <f>F44</f>
        <v>46075</v>
      </c>
      <c r="G54" s="48">
        <f>G27</f>
        <v>174570821</v>
      </c>
      <c r="H54" s="178">
        <f>G54</f>
        <v>174570821</v>
      </c>
      <c r="I54" s="7"/>
    </row>
    <row r="55" spans="1:20" ht="49.5" customHeight="1" x14ac:dyDescent="0.2">
      <c r="A55" s="4" t="s">
        <v>28</v>
      </c>
      <c r="B55" s="270" t="s">
        <v>37</v>
      </c>
      <c r="C55" s="271"/>
      <c r="D55" s="272"/>
      <c r="E55" s="172"/>
      <c r="F55" s="47"/>
      <c r="G55" s="53"/>
      <c r="H55" s="7"/>
      <c r="I55" s="7"/>
    </row>
    <row r="56" spans="1:20" ht="17.25" customHeight="1" x14ac:dyDescent="0.2">
      <c r="A56" s="293" t="s">
        <v>5</v>
      </c>
      <c r="B56" s="293"/>
      <c r="C56" s="293"/>
      <c r="D56" s="293"/>
      <c r="E56" s="173">
        <f>SUM(E51:E54)</f>
        <v>1</v>
      </c>
      <c r="F56" s="174"/>
      <c r="G56" s="174">
        <f>SUM(G50:G54)</f>
        <v>33316167309.195217</v>
      </c>
      <c r="H56" s="174">
        <f>SUM(H50:H55)</f>
        <v>10117049767.458565</v>
      </c>
      <c r="I56" s="174">
        <f>SUM(I50:I55)</f>
        <v>23199117541.736652</v>
      </c>
      <c r="J56" s="67" t="b">
        <f>EXACT(G56,G28)</f>
        <v>1</v>
      </c>
    </row>
    <row r="57" spans="1:20" ht="17.25" hidden="1" customHeight="1" x14ac:dyDescent="0.2">
      <c r="I57" s="179">
        <f>I56+H56</f>
        <v>33316167309.195217</v>
      </c>
      <c r="J57" s="67" t="b">
        <f>EXACT(I57,G56)</f>
        <v>1</v>
      </c>
    </row>
    <row r="58" spans="1:20" ht="17.25" hidden="1" customHeight="1" x14ac:dyDescent="0.2">
      <c r="A58" s="180">
        <v>3</v>
      </c>
      <c r="B58" s="181" t="s">
        <v>121</v>
      </c>
      <c r="C58" s="182"/>
      <c r="D58" s="182"/>
      <c r="E58" s="183"/>
      <c r="F58" s="183"/>
      <c r="G58" s="183"/>
      <c r="R58" s="8"/>
      <c r="S58" s="8"/>
      <c r="T58" s="8"/>
    </row>
    <row r="59" spans="1:20" ht="34.5" hidden="1" customHeight="1" x14ac:dyDescent="0.2">
      <c r="A59" s="15" t="s">
        <v>24</v>
      </c>
      <c r="B59" s="294" t="s">
        <v>22</v>
      </c>
      <c r="C59" s="295"/>
      <c r="D59" s="295"/>
      <c r="E59" s="15" t="s">
        <v>3</v>
      </c>
      <c r="F59" s="52" t="s">
        <v>4</v>
      </c>
      <c r="G59" s="15" t="s">
        <v>13</v>
      </c>
      <c r="R59" s="8"/>
      <c r="S59" s="8"/>
      <c r="T59" s="8"/>
    </row>
    <row r="60" spans="1:20" ht="24.75" hidden="1" customHeight="1" x14ac:dyDescent="0.2">
      <c r="A60" s="4"/>
      <c r="B60" s="270" t="s">
        <v>110</v>
      </c>
      <c r="C60" s="271"/>
      <c r="D60" s="272"/>
      <c r="E60" s="53"/>
      <c r="F60" s="140">
        <f ca="1">F38</f>
        <v>46084</v>
      </c>
      <c r="G60" s="54">
        <f>G38</f>
        <v>300000000</v>
      </c>
      <c r="R60" s="8"/>
      <c r="S60" s="8"/>
      <c r="T60" s="8"/>
    </row>
    <row r="61" spans="1:20" ht="24.75" hidden="1" customHeight="1" x14ac:dyDescent="0.2">
      <c r="A61" s="4" t="s">
        <v>25</v>
      </c>
      <c r="B61" s="270" t="s">
        <v>159</v>
      </c>
      <c r="C61" s="271"/>
      <c r="D61" s="272"/>
      <c r="E61" s="55">
        <v>0.1</v>
      </c>
      <c r="F61" s="140">
        <f ca="1">F39</f>
        <v>46089</v>
      </c>
      <c r="G61" s="54">
        <f ca="1">E61*(G31+G32)-G60</f>
        <v>2983637526.7605</v>
      </c>
      <c r="I61" s="29"/>
      <c r="R61" s="8"/>
      <c r="S61" s="8"/>
      <c r="T61" s="8"/>
    </row>
    <row r="62" spans="1:20" ht="24.75" hidden="1" customHeight="1" x14ac:dyDescent="0.2">
      <c r="A62" s="109" t="s">
        <v>26</v>
      </c>
      <c r="B62" s="290" t="s">
        <v>101</v>
      </c>
      <c r="C62" s="291"/>
      <c r="D62" s="292"/>
      <c r="E62" s="55">
        <v>0.9</v>
      </c>
      <c r="F62" s="141">
        <f ca="1">IF(WEEKDAY($F$60+25)=1,$F$60+24,$F$60+25)</f>
        <v>46109</v>
      </c>
      <c r="G62" s="54">
        <f ca="1">E62*(G31+G32)</f>
        <v>29552737740.844501</v>
      </c>
      <c r="H62" s="56"/>
      <c r="I62" s="29"/>
      <c r="R62" s="8"/>
      <c r="S62" s="8"/>
      <c r="T62" s="8"/>
    </row>
    <row r="63" spans="1:20" s="9" customFormat="1" ht="24.75" hidden="1" customHeight="1" x14ac:dyDescent="0.2">
      <c r="A63" s="111" t="s">
        <v>27</v>
      </c>
      <c r="B63" s="57" t="s">
        <v>38</v>
      </c>
      <c r="C63" s="273" t="str">
        <f>IF(C6="Hoàn thiện","D+340 ngày","D+280 ngày")</f>
        <v>D+280 ngày</v>
      </c>
      <c r="D63" s="274"/>
      <c r="E63" s="55" t="s">
        <v>32</v>
      </c>
      <c r="F63" s="141">
        <f>F44</f>
        <v>46075</v>
      </c>
      <c r="G63" s="58">
        <f>G33</f>
        <v>174570821</v>
      </c>
      <c r="H63" s="8"/>
      <c r="I63" s="8"/>
      <c r="K63" s="8"/>
    </row>
    <row r="64" spans="1:20" s="9" customFormat="1" ht="32.25" hidden="1" customHeight="1" x14ac:dyDescent="0.2">
      <c r="A64" s="111" t="s">
        <v>28</v>
      </c>
      <c r="B64" s="270" t="s">
        <v>37</v>
      </c>
      <c r="C64" s="271"/>
      <c r="D64" s="272"/>
      <c r="E64" s="55"/>
      <c r="F64" s="141"/>
      <c r="G64" s="54"/>
      <c r="H64" s="8"/>
      <c r="I64" s="8"/>
      <c r="K64" s="8"/>
    </row>
    <row r="65" spans="1:20" s="9" customFormat="1" ht="17.25" hidden="1" customHeight="1" x14ac:dyDescent="0.2">
      <c r="A65" s="285" t="s">
        <v>5</v>
      </c>
      <c r="B65" s="286"/>
      <c r="C65" s="286"/>
      <c r="D65" s="287"/>
      <c r="E65" s="174"/>
      <c r="F65" s="174"/>
      <c r="G65" s="174">
        <f ca="1">SUM(G60:G63)</f>
        <v>33010946088.605003</v>
      </c>
      <c r="I65" s="157"/>
      <c r="J65" s="229">
        <f ca="1">G65-G30</f>
        <v>0</v>
      </c>
      <c r="K65" s="8"/>
      <c r="L65" s="8"/>
      <c r="M65" s="8"/>
      <c r="R65" s="184"/>
      <c r="S65" s="184"/>
      <c r="T65" s="184"/>
    </row>
    <row r="66" spans="1:20" s="9" customFormat="1" ht="17.25" hidden="1" customHeight="1" x14ac:dyDescent="0.2">
      <c r="A66" s="176"/>
      <c r="B66" s="177"/>
      <c r="C66" s="177"/>
      <c r="D66" s="177"/>
      <c r="E66" s="177"/>
      <c r="F66" s="177"/>
      <c r="G66" s="177"/>
      <c r="H66" s="185"/>
      <c r="I66" s="186"/>
      <c r="K66" s="8"/>
      <c r="L66" s="8"/>
      <c r="M66" s="8"/>
      <c r="R66" s="184"/>
      <c r="S66" s="184"/>
      <c r="T66" s="184"/>
    </row>
    <row r="67" spans="1:20" s="9" customFormat="1" ht="75.75" customHeight="1" x14ac:dyDescent="0.2">
      <c r="A67" s="298" t="s">
        <v>33</v>
      </c>
      <c r="B67" s="299"/>
      <c r="C67" s="299"/>
      <c r="D67" s="299"/>
      <c r="E67" s="299"/>
      <c r="F67" s="299"/>
      <c r="G67" s="299"/>
      <c r="H67" s="8"/>
      <c r="I67" s="8"/>
      <c r="K67" s="8"/>
      <c r="L67" s="8"/>
      <c r="M67" s="8"/>
      <c r="R67" s="184"/>
      <c r="S67" s="184"/>
      <c r="T67" s="184"/>
    </row>
    <row r="68" spans="1:20" s="9" customFormat="1" ht="51" customHeight="1" x14ac:dyDescent="0.2">
      <c r="A68" s="300" t="s">
        <v>74</v>
      </c>
      <c r="B68" s="300"/>
      <c r="C68" s="300"/>
      <c r="D68" s="300"/>
      <c r="E68" s="300"/>
      <c r="F68" s="300"/>
      <c r="G68" s="300"/>
      <c r="H68" s="8"/>
      <c r="I68" s="8"/>
      <c r="K68" s="8"/>
      <c r="L68" s="8"/>
      <c r="M68" s="8"/>
      <c r="R68" s="184"/>
      <c r="S68" s="184"/>
      <c r="T68" s="184"/>
    </row>
    <row r="69" spans="1:20" ht="17.25" customHeight="1" x14ac:dyDescent="0.2">
      <c r="B69" s="187" t="s">
        <v>7</v>
      </c>
      <c r="C69" s="154"/>
      <c r="D69" s="296" t="s">
        <v>35</v>
      </c>
      <c r="E69" s="296"/>
      <c r="F69" s="296" t="s">
        <v>8</v>
      </c>
      <c r="G69" s="296"/>
    </row>
    <row r="70" spans="1:20" ht="17.25" customHeight="1" x14ac:dyDescent="0.2">
      <c r="B70" s="77" t="s">
        <v>9</v>
      </c>
      <c r="D70" s="297" t="s">
        <v>9</v>
      </c>
      <c r="E70" s="297"/>
      <c r="F70" s="297" t="s">
        <v>9</v>
      </c>
      <c r="G70" s="297"/>
    </row>
    <row r="71" spans="1:20" s="9" customFormat="1" ht="17.25" customHeight="1" x14ac:dyDescent="0.2">
      <c r="A71" s="77"/>
      <c r="B71" s="8"/>
      <c r="C71" s="8"/>
      <c r="D71" s="8"/>
      <c r="E71" s="8"/>
      <c r="F71" s="8"/>
      <c r="G71" s="8"/>
      <c r="H71" s="8"/>
      <c r="I71" s="8"/>
      <c r="K71" s="8"/>
      <c r="L71" s="8"/>
      <c r="M71" s="8"/>
      <c r="R71" s="184"/>
      <c r="S71" s="184"/>
      <c r="T71" s="184"/>
    </row>
    <row r="73" spans="1:20" x14ac:dyDescent="0.2">
      <c r="A73" s="8"/>
    </row>
    <row r="74" spans="1:20" x14ac:dyDescent="0.2">
      <c r="A74" s="8"/>
    </row>
    <row r="75" spans="1:20" ht="17.25" customHeight="1" x14ac:dyDescent="0.2">
      <c r="A75" s="8"/>
    </row>
    <row r="76" spans="1:20" ht="17.25" customHeight="1" x14ac:dyDescent="0.2">
      <c r="A76" s="8"/>
    </row>
    <row r="77" spans="1:20" x14ac:dyDescent="0.2">
      <c r="A77" s="8"/>
    </row>
    <row r="78" spans="1:20" x14ac:dyDescent="0.2">
      <c r="A78" s="8"/>
    </row>
    <row r="79" spans="1:20" x14ac:dyDescent="0.2">
      <c r="A79" s="8"/>
    </row>
  </sheetData>
  <protectedRanges>
    <protectedRange sqref="E27:F27 E24:F24 E17:F22 E12:F16" name="Range1"/>
    <protectedRange sqref="E9:E11" name="Range1_1_1_1_1"/>
    <protectedRange sqref="E23:G23 E7:G7" name="Range1_1_1_1"/>
    <protectedRange sqref="C4:C5" name="Range1_1_1_2"/>
    <protectedRange sqref="G24" name="Range1_1"/>
  </protectedRanges>
  <mergeCells count="57">
    <mergeCell ref="D69:E69"/>
    <mergeCell ref="F69:G69"/>
    <mergeCell ref="D70:E70"/>
    <mergeCell ref="F70:G70"/>
    <mergeCell ref="B62:D62"/>
    <mergeCell ref="C63:D63"/>
    <mergeCell ref="B64:D64"/>
    <mergeCell ref="A65:D65"/>
    <mergeCell ref="A67:G67"/>
    <mergeCell ref="A68:G68"/>
    <mergeCell ref="B61:D61"/>
    <mergeCell ref="A46:D46"/>
    <mergeCell ref="B50:D50"/>
    <mergeCell ref="B51:D51"/>
    <mergeCell ref="A52:A53"/>
    <mergeCell ref="B52:D52"/>
    <mergeCell ref="B53:D53"/>
    <mergeCell ref="C54:D54"/>
    <mergeCell ref="B55:D55"/>
    <mergeCell ref="A56:D56"/>
    <mergeCell ref="B59:D59"/>
    <mergeCell ref="B60:D60"/>
    <mergeCell ref="B45:D45"/>
    <mergeCell ref="B31:F31"/>
    <mergeCell ref="B32:F32"/>
    <mergeCell ref="B33:F33"/>
    <mergeCell ref="A34:G34"/>
    <mergeCell ref="B38:D38"/>
    <mergeCell ref="B39:D39"/>
    <mergeCell ref="B40:D40"/>
    <mergeCell ref="B41:D41"/>
    <mergeCell ref="B42:D42"/>
    <mergeCell ref="B43:D43"/>
    <mergeCell ref="C44:D44"/>
    <mergeCell ref="B30:F30"/>
    <mergeCell ref="B16:F16"/>
    <mergeCell ref="A17:A18"/>
    <mergeCell ref="B17:F17"/>
    <mergeCell ref="B18:F18"/>
    <mergeCell ref="B24:F24"/>
    <mergeCell ref="B25:F25"/>
    <mergeCell ref="B26:F26"/>
    <mergeCell ref="B27:F27"/>
    <mergeCell ref="B28:F28"/>
    <mergeCell ref="B29:F29"/>
    <mergeCell ref="B15:F15"/>
    <mergeCell ref="A1:G1"/>
    <mergeCell ref="A2:G2"/>
    <mergeCell ref="B7:F7"/>
    <mergeCell ref="B8:F8"/>
    <mergeCell ref="B9:F9"/>
    <mergeCell ref="B10:F10"/>
    <mergeCell ref="B11:F11"/>
    <mergeCell ref="A12:A14"/>
    <mergeCell ref="B12:F12"/>
    <mergeCell ref="B13:F13"/>
    <mergeCell ref="B14:F14"/>
  </mergeCells>
  <dataValidations count="5">
    <dataValidation type="list" allowBlank="1" showInputMessage="1" showErrorMessage="1" sqref="G16" xr:uid="{A2B75AC3-6ADA-4A2A-9E3F-F070513F5378}">
      <formula1>"0,0.15%,0.2%,0.25%"</formula1>
    </dataValidation>
    <dataValidation type="list" allowBlank="1" showInputMessage="1" showErrorMessage="1" sqref="G15" xr:uid="{5B245C36-CDCF-4ABD-9D34-4AC0421CE249}">
      <mc:AlternateContent xmlns:x12ac="http://schemas.microsoft.com/office/spreadsheetml/2011/1/ac" xmlns:mc="http://schemas.openxmlformats.org/markup-compatibility/2006">
        <mc:Choice Requires="x12ac">
          <x12ac:list>0,"0,5%"</x12ac:list>
        </mc:Choice>
        <mc:Fallback>
          <formula1>"0,0,5%"</formula1>
        </mc:Fallback>
      </mc:AlternateContent>
    </dataValidation>
    <dataValidation type="list" allowBlank="1" showInputMessage="1" showErrorMessage="1" sqref="G14" xr:uid="{E90B6E4B-510D-4E06-8142-CFBAA8180518}">
      <mc:AlternateContent xmlns:x12ac="http://schemas.microsoft.com/office/spreadsheetml/2011/1/ac" xmlns:mc="http://schemas.openxmlformats.org/markup-compatibility/2006">
        <mc:Choice Requires="x12ac">
          <x12ac:list>0,"10,5%"</x12ac:list>
        </mc:Choice>
        <mc:Fallback>
          <formula1>"0,10,5%"</formula1>
        </mc:Fallback>
      </mc:AlternateContent>
    </dataValidation>
    <dataValidation type="list" allowBlank="1" showInputMessage="1" showErrorMessage="1" sqref="G12" xr:uid="{FD05C32F-5DB4-46FC-B099-CAB8DE56D366}">
      <mc:AlternateContent xmlns:x12ac="http://schemas.microsoft.com/office/spreadsheetml/2011/1/ac" xmlns:mc="http://schemas.openxmlformats.org/markup-compatibility/2006">
        <mc:Choice Requires="x12ac">
          <x12ac:list>0,"4,5%"</x12ac:list>
        </mc:Choice>
        <mc:Fallback>
          <formula1>"0,4,5%"</formula1>
        </mc:Fallback>
      </mc:AlternateContent>
    </dataValidation>
    <dataValidation type="list" allowBlank="1" showInputMessage="1" showErrorMessage="1" sqref="C6" xr:uid="{524815F4-3599-4A33-A67C-C2D2F30B61D1}">
      <formula1>"Hoàn thiện,Thô xây luôn"</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9CBEB-3BF5-B041-A10C-80D668C065A2}">
  <dimension ref="A1:T79"/>
  <sheetViews>
    <sheetView topLeftCell="A4" zoomScale="86" zoomScaleNormal="70" workbookViewId="0">
      <selection activeCell="B19" sqref="B19"/>
    </sheetView>
  </sheetViews>
  <sheetFormatPr baseColWidth="10" defaultColWidth="9.33203125" defaultRowHeight="16" x14ac:dyDescent="0.2"/>
  <cols>
    <col min="1" max="1" width="8.6640625" style="77" customWidth="1"/>
    <col min="2" max="2" width="50.6640625" style="8" customWidth="1"/>
    <col min="3" max="3" width="19.33203125" style="8" customWidth="1"/>
    <col min="4" max="4" width="19.6640625" style="8" customWidth="1"/>
    <col min="5" max="5" width="21.6640625" style="8" customWidth="1"/>
    <col min="6" max="6" width="19.6640625" style="8" customWidth="1"/>
    <col min="7" max="7" width="35.1640625" style="8" customWidth="1"/>
    <col min="8" max="9" width="28.6640625" style="8" customWidth="1"/>
    <col min="10" max="10" width="16.6640625" style="9" customWidth="1"/>
    <col min="11" max="11" width="14.5" style="8" customWidth="1"/>
    <col min="12" max="12" width="10.33203125" style="8" customWidth="1"/>
    <col min="13" max="13" width="18.5" style="8" customWidth="1"/>
    <col min="14" max="14" width="16.6640625" style="8" customWidth="1"/>
    <col min="15" max="15" width="14.5" style="8" customWidth="1"/>
    <col min="16" max="16" width="21.5" style="8" customWidth="1"/>
    <col min="17" max="17" width="15.6640625" style="8" customWidth="1"/>
    <col min="18" max="18" width="19.33203125" style="10" customWidth="1"/>
    <col min="19" max="19" width="19.6640625" style="10" customWidth="1"/>
    <col min="20" max="20" width="19.33203125" style="10" customWidth="1"/>
    <col min="21" max="16384" width="9.33203125" style="8"/>
  </cols>
  <sheetData>
    <row r="1" spans="1:20" ht="96" customHeight="1" x14ac:dyDescent="0.2">
      <c r="A1" s="245" t="s">
        <v>125</v>
      </c>
      <c r="B1" s="245"/>
      <c r="C1" s="245"/>
      <c r="D1" s="245"/>
      <c r="E1" s="245"/>
      <c r="F1" s="245"/>
      <c r="G1" s="245"/>
    </row>
    <row r="2" spans="1:20" ht="20.25" customHeight="1" x14ac:dyDescent="0.2">
      <c r="A2" s="246"/>
      <c r="B2" s="246"/>
      <c r="C2" s="246"/>
      <c r="D2" s="246"/>
      <c r="E2" s="246"/>
      <c r="F2" s="246"/>
      <c r="G2" s="246"/>
    </row>
    <row r="3" spans="1:20" ht="17.25" customHeight="1" x14ac:dyDescent="0.2">
      <c r="B3" s="142" t="s">
        <v>10</v>
      </c>
      <c r="C3" s="143"/>
      <c r="D3" s="78"/>
      <c r="E3" s="78"/>
      <c r="F3" s="78"/>
      <c r="G3" s="78"/>
      <c r="J3" s="8"/>
    </row>
    <row r="4" spans="1:20" ht="21.75" customHeight="1" x14ac:dyDescent="0.2">
      <c r="B4" s="7" t="s">
        <v>11</v>
      </c>
      <c r="C4" s="144" t="str">
        <f>TTTĐ!C4</f>
        <v>ĐLBM-123</v>
      </c>
      <c r="D4" s="78"/>
      <c r="E4" s="78"/>
      <c r="F4" s="78"/>
      <c r="G4" s="78"/>
    </row>
    <row r="5" spans="1:20" ht="21.75" customHeight="1" x14ac:dyDescent="0.2">
      <c r="B5" s="7" t="s">
        <v>152</v>
      </c>
      <c r="C5" s="233">
        <f>VLOOKUP(C4,Sheet1!A:E,5,0)</f>
        <v>39914809997</v>
      </c>
      <c r="D5" s="78"/>
      <c r="E5" s="78"/>
      <c r="F5" s="79"/>
      <c r="G5" s="79"/>
      <c r="J5" s="71"/>
      <c r="K5" s="72"/>
      <c r="L5" s="72"/>
      <c r="M5" s="72"/>
      <c r="N5" s="72"/>
      <c r="O5" s="72"/>
      <c r="P5" s="72"/>
    </row>
    <row r="6" spans="1:20" ht="21.75" customHeight="1" x14ac:dyDescent="0.2">
      <c r="B6" s="12" t="s">
        <v>36</v>
      </c>
      <c r="C6" s="145" t="s">
        <v>160</v>
      </c>
      <c r="D6" s="60"/>
      <c r="E6" s="60"/>
      <c r="F6" s="60"/>
      <c r="G6" s="78"/>
      <c r="J6" s="71"/>
      <c r="K6" s="72"/>
      <c r="L6" s="72"/>
      <c r="M6" s="72"/>
      <c r="N6" s="72"/>
      <c r="O6" s="72"/>
      <c r="P6" s="72"/>
    </row>
    <row r="7" spans="1:20" ht="17.25" customHeight="1" x14ac:dyDescent="0.2">
      <c r="A7" s="80" t="s">
        <v>12</v>
      </c>
      <c r="B7" s="247" t="s">
        <v>91</v>
      </c>
      <c r="C7" s="248"/>
      <c r="D7" s="248"/>
      <c r="E7" s="248"/>
      <c r="F7" s="249"/>
      <c r="G7" s="80" t="s">
        <v>13</v>
      </c>
      <c r="J7" s="71" t="s">
        <v>14</v>
      </c>
      <c r="K7" s="72"/>
      <c r="L7" s="72"/>
      <c r="M7" s="72"/>
      <c r="N7" s="72"/>
      <c r="O7" s="72"/>
      <c r="P7" s="72"/>
    </row>
    <row r="8" spans="1:20" ht="17.25" customHeight="1" x14ac:dyDescent="0.2">
      <c r="A8" s="109">
        <v>1</v>
      </c>
      <c r="B8" s="250" t="s">
        <v>92</v>
      </c>
      <c r="C8" s="251"/>
      <c r="D8" s="251"/>
      <c r="E8" s="251"/>
      <c r="F8" s="252"/>
      <c r="G8" s="230">
        <f>VLOOKUP(C4,Sheet1!A:H,8,0)</f>
        <v>86618895.657521278</v>
      </c>
      <c r="J8" s="71"/>
      <c r="K8" s="72"/>
      <c r="L8" s="72"/>
      <c r="M8" s="72"/>
      <c r="N8" s="72"/>
      <c r="O8" s="72"/>
      <c r="P8" s="72"/>
    </row>
    <row r="9" spans="1:20" ht="17.25" customHeight="1" x14ac:dyDescent="0.2">
      <c r="A9" s="4">
        <v>2</v>
      </c>
      <c r="B9" s="253" t="s">
        <v>56</v>
      </c>
      <c r="C9" s="254"/>
      <c r="D9" s="254"/>
      <c r="E9" s="254"/>
      <c r="F9" s="255"/>
      <c r="G9" s="82">
        <f>VLOOKUP(C4,Sheet1!A:G,7,0)</f>
        <v>422.8</v>
      </c>
      <c r="J9" s="146"/>
      <c r="K9" s="146"/>
      <c r="L9" s="146"/>
      <c r="M9" s="146"/>
      <c r="N9" s="72"/>
      <c r="O9" s="72"/>
      <c r="P9" s="72"/>
    </row>
    <row r="10" spans="1:20" ht="17.25" customHeight="1" x14ac:dyDescent="0.2">
      <c r="A10" s="4">
        <v>3</v>
      </c>
      <c r="B10" s="253" t="s">
        <v>15</v>
      </c>
      <c r="C10" s="254"/>
      <c r="D10" s="254"/>
      <c r="E10" s="254"/>
      <c r="F10" s="255"/>
      <c r="G10" s="82">
        <f>VLOOKUP(C4,Sheet1!A:F,6,0)</f>
        <v>136</v>
      </c>
      <c r="J10" s="72"/>
      <c r="K10" s="72"/>
      <c r="L10" s="72"/>
      <c r="M10" s="72"/>
      <c r="N10" s="72"/>
      <c r="O10" s="72"/>
      <c r="P10" s="72"/>
    </row>
    <row r="11" spans="1:20" ht="17.25" customHeight="1" x14ac:dyDescent="0.2">
      <c r="A11" s="17">
        <v>4</v>
      </c>
      <c r="B11" s="253" t="s">
        <v>90</v>
      </c>
      <c r="C11" s="254"/>
      <c r="D11" s="254"/>
      <c r="E11" s="254"/>
      <c r="F11" s="255"/>
      <c r="G11" s="83">
        <v>40035060</v>
      </c>
      <c r="J11" s="72"/>
      <c r="K11" s="72"/>
      <c r="L11" s="72"/>
      <c r="M11" s="72"/>
      <c r="N11" s="72"/>
      <c r="O11" s="72"/>
      <c r="P11" s="72"/>
    </row>
    <row r="12" spans="1:20" s="200" customFormat="1" ht="16.5" customHeight="1" x14ac:dyDescent="0.2">
      <c r="A12" s="256">
        <v>5</v>
      </c>
      <c r="B12" s="259" t="s">
        <v>189</v>
      </c>
      <c r="C12" s="260"/>
      <c r="D12" s="260"/>
      <c r="E12" s="260"/>
      <c r="F12" s="261"/>
      <c r="G12" s="194">
        <v>0</v>
      </c>
      <c r="H12" s="199"/>
      <c r="L12" s="201"/>
      <c r="R12" s="202"/>
      <c r="S12" s="202"/>
      <c r="T12" s="202"/>
    </row>
    <row r="13" spans="1:20" s="200" customFormat="1" ht="17.25" customHeight="1" x14ac:dyDescent="0.2">
      <c r="A13" s="257"/>
      <c r="B13" s="259" t="s">
        <v>53</v>
      </c>
      <c r="C13" s="260"/>
      <c r="D13" s="260"/>
      <c r="E13" s="260"/>
      <c r="F13" s="261"/>
      <c r="G13" s="210">
        <v>0</v>
      </c>
      <c r="H13" s="205"/>
      <c r="L13" s="201"/>
      <c r="R13" s="202"/>
      <c r="S13" s="202"/>
      <c r="T13" s="202"/>
    </row>
    <row r="14" spans="1:20" s="23" customFormat="1" ht="17.25" customHeight="1" x14ac:dyDescent="0.2">
      <c r="A14" s="258"/>
      <c r="B14" s="262" t="s">
        <v>122</v>
      </c>
      <c r="C14" s="263"/>
      <c r="D14" s="263"/>
      <c r="E14" s="263"/>
      <c r="F14" s="264"/>
      <c r="G14" s="194">
        <v>0</v>
      </c>
      <c r="H14" s="96"/>
      <c r="J14" s="67"/>
      <c r="M14" s="147"/>
      <c r="R14" s="69"/>
      <c r="S14" s="69"/>
      <c r="T14" s="69"/>
    </row>
    <row r="15" spans="1:20" s="86" customFormat="1" ht="17.25" customHeight="1" x14ac:dyDescent="0.2">
      <c r="A15" s="91">
        <v>6</v>
      </c>
      <c r="B15" s="242" t="s">
        <v>124</v>
      </c>
      <c r="C15" s="243"/>
      <c r="D15" s="243"/>
      <c r="E15" s="243"/>
      <c r="F15" s="244"/>
      <c r="G15" s="84">
        <v>5.0000000000000001E-3</v>
      </c>
      <c r="H15" s="85" t="s">
        <v>100</v>
      </c>
      <c r="J15" s="89"/>
      <c r="M15" s="90"/>
      <c r="R15" s="88"/>
      <c r="S15" s="88"/>
      <c r="T15" s="88"/>
    </row>
    <row r="16" spans="1:20" s="196" customFormat="1" ht="17.25" customHeight="1" x14ac:dyDescent="0.2">
      <c r="A16" s="208">
        <v>7</v>
      </c>
      <c r="B16" s="259" t="s">
        <v>54</v>
      </c>
      <c r="C16" s="260"/>
      <c r="D16" s="260"/>
      <c r="E16" s="260"/>
      <c r="F16" s="261"/>
      <c r="G16" s="209">
        <v>0</v>
      </c>
      <c r="H16" s="195"/>
      <c r="J16" s="197"/>
      <c r="M16" s="203"/>
      <c r="R16" s="198"/>
      <c r="S16" s="198"/>
      <c r="T16" s="198"/>
    </row>
    <row r="17" spans="1:20" s="200" customFormat="1" ht="17.25" customHeight="1" x14ac:dyDescent="0.2">
      <c r="A17" s="265"/>
      <c r="B17" s="259" t="s">
        <v>179</v>
      </c>
      <c r="C17" s="260"/>
      <c r="D17" s="260"/>
      <c r="E17" s="260"/>
      <c r="F17" s="261"/>
      <c r="G17" s="204">
        <v>0.05</v>
      </c>
      <c r="H17" s="205" t="s">
        <v>97</v>
      </c>
      <c r="J17" s="206"/>
      <c r="M17" s="201"/>
      <c r="R17" s="202"/>
      <c r="S17" s="202"/>
      <c r="T17" s="202"/>
    </row>
    <row r="18" spans="1:20" s="200" customFormat="1" ht="17.25" hidden="1" customHeight="1" x14ac:dyDescent="0.2">
      <c r="A18" s="266"/>
      <c r="B18" s="259" t="s">
        <v>55</v>
      </c>
      <c r="C18" s="260"/>
      <c r="D18" s="260"/>
      <c r="E18" s="260"/>
      <c r="F18" s="261"/>
      <c r="G18" s="207" t="e">
        <f>IF(#REF!=9%,(((G8-G20/G9)*(1-G12)*(1-G14)*(1-G15)*(1-G16))*G9)*2.7%,0)</f>
        <v>#REF!</v>
      </c>
      <c r="H18" s="205" t="s">
        <v>97</v>
      </c>
      <c r="J18" s="206"/>
      <c r="M18" s="201"/>
      <c r="R18" s="202"/>
      <c r="S18" s="202"/>
      <c r="T18" s="202"/>
    </row>
    <row r="19" spans="1:20" s="200" customFormat="1" ht="17.25" customHeight="1" x14ac:dyDescent="0.2">
      <c r="A19" s="241"/>
      <c r="B19" s="213" t="s">
        <v>210</v>
      </c>
      <c r="C19" s="376"/>
      <c r="D19" s="376"/>
      <c r="E19" s="376"/>
      <c r="F19" s="377"/>
      <c r="G19" s="378">
        <v>7.0000000000000007E-2</v>
      </c>
      <c r="H19" s="205"/>
      <c r="J19" s="206"/>
      <c r="M19" s="201"/>
      <c r="R19" s="202"/>
      <c r="S19" s="202"/>
      <c r="T19" s="202"/>
    </row>
    <row r="20" spans="1:20" s="23" customFormat="1" ht="17.25" customHeight="1" x14ac:dyDescent="0.2">
      <c r="A20" s="3">
        <v>9</v>
      </c>
      <c r="B20" s="213" t="s">
        <v>57</v>
      </c>
      <c r="C20" s="93"/>
      <c r="D20" s="93"/>
      <c r="E20" s="93"/>
      <c r="F20" s="94"/>
      <c r="G20" s="148">
        <f>TTTĐ!G20</f>
        <v>145000000</v>
      </c>
      <c r="J20" s="67"/>
      <c r="M20" s="68"/>
      <c r="R20" s="69"/>
      <c r="S20" s="69"/>
      <c r="T20" s="69"/>
    </row>
    <row r="21" spans="1:20" s="23" customFormat="1" ht="17.25" customHeight="1" x14ac:dyDescent="0.2">
      <c r="A21" s="97">
        <v>10</v>
      </c>
      <c r="B21" s="98" t="s">
        <v>93</v>
      </c>
      <c r="C21" s="93"/>
      <c r="D21" s="93"/>
      <c r="E21" s="93"/>
      <c r="F21" s="94"/>
      <c r="G21" s="99">
        <f>(G8-G20/G9)*(1-G12)*(1-G14)*(1-G15)*(1-G16)*(1-G17)*(1-G19)</f>
        <v>75843672.459875658</v>
      </c>
      <c r="H21" s="100"/>
      <c r="I21" s="100"/>
      <c r="J21" s="67"/>
      <c r="M21" s="68"/>
      <c r="R21" s="69"/>
      <c r="S21" s="69"/>
      <c r="T21" s="69"/>
    </row>
    <row r="22" spans="1:20" s="23" customFormat="1" ht="17.25" customHeight="1" x14ac:dyDescent="0.2">
      <c r="A22" s="97">
        <v>11</v>
      </c>
      <c r="B22" s="98" t="s">
        <v>94</v>
      </c>
      <c r="C22" s="93"/>
      <c r="D22" s="93"/>
      <c r="E22" s="93"/>
      <c r="F22" s="94"/>
      <c r="G22" s="99"/>
      <c r="H22" s="102"/>
      <c r="J22" s="67"/>
      <c r="M22" s="68"/>
      <c r="R22" s="69"/>
      <c r="S22" s="69"/>
      <c r="T22" s="69"/>
    </row>
    <row r="23" spans="1:20" ht="17.25" customHeight="1" x14ac:dyDescent="0.2">
      <c r="A23" s="64" t="s">
        <v>18</v>
      </c>
      <c r="B23" s="142" t="s">
        <v>41</v>
      </c>
      <c r="C23" s="143"/>
      <c r="D23" s="143"/>
      <c r="E23" s="149"/>
      <c r="F23" s="150"/>
      <c r="G23" s="151" t="s">
        <v>19</v>
      </c>
      <c r="H23" s="191"/>
      <c r="I23" s="29"/>
      <c r="J23" s="71" t="s">
        <v>16</v>
      </c>
      <c r="K23" s="72"/>
      <c r="L23" s="72"/>
      <c r="M23" s="73">
        <v>5.0000000000000001E-3</v>
      </c>
      <c r="N23" s="72" t="s">
        <v>17</v>
      </c>
      <c r="O23" s="72"/>
      <c r="P23" s="72"/>
    </row>
    <row r="24" spans="1:20" s="154" customFormat="1" ht="17.25" customHeight="1" x14ac:dyDescent="0.2">
      <c r="A24" s="4">
        <v>1</v>
      </c>
      <c r="B24" s="267" t="s">
        <v>87</v>
      </c>
      <c r="C24" s="268"/>
      <c r="D24" s="268"/>
      <c r="E24" s="268"/>
      <c r="F24" s="269"/>
      <c r="G24" s="152">
        <f>G21*G9</f>
        <v>32066704716.035431</v>
      </c>
      <c r="H24" s="153"/>
      <c r="I24" s="118"/>
      <c r="J24" s="155"/>
      <c r="K24" s="146"/>
      <c r="L24" s="146"/>
      <c r="M24" s="146"/>
      <c r="N24" s="146"/>
      <c r="O24" s="146"/>
      <c r="P24" s="146"/>
      <c r="R24" s="122"/>
      <c r="S24" s="122"/>
      <c r="T24" s="122"/>
    </row>
    <row r="25" spans="1:20" ht="17.25" customHeight="1" x14ac:dyDescent="0.2">
      <c r="A25" s="4">
        <v>2</v>
      </c>
      <c r="B25" s="250" t="s">
        <v>20</v>
      </c>
      <c r="C25" s="251"/>
      <c r="D25" s="251"/>
      <c r="E25" s="251"/>
      <c r="F25" s="252"/>
      <c r="G25" s="152">
        <f>(G24-G10*G11)*10%</f>
        <v>2662193655.6035433</v>
      </c>
      <c r="H25" s="102"/>
    </row>
    <row r="26" spans="1:20" ht="17.25" customHeight="1" x14ac:dyDescent="0.2">
      <c r="A26" s="4">
        <v>3</v>
      </c>
      <c r="B26" s="267" t="s">
        <v>86</v>
      </c>
      <c r="C26" s="268"/>
      <c r="D26" s="268"/>
      <c r="E26" s="268"/>
      <c r="F26" s="269"/>
      <c r="G26" s="152">
        <f>G24+G25</f>
        <v>34728898371.638977</v>
      </c>
      <c r="H26" s="49"/>
    </row>
    <row r="27" spans="1:20" ht="17.25" customHeight="1" x14ac:dyDescent="0.2">
      <c r="A27" s="4">
        <v>4</v>
      </c>
      <c r="B27" s="267" t="s">
        <v>2</v>
      </c>
      <c r="C27" s="268"/>
      <c r="D27" s="268"/>
      <c r="E27" s="268"/>
      <c r="F27" s="269"/>
      <c r="G27" s="156">
        <f>VLOOKUP(C4,Sheet1!A:D,4,0)</f>
        <v>174570821</v>
      </c>
      <c r="H27" s="86"/>
      <c r="M27" s="157"/>
    </row>
    <row r="28" spans="1:20" ht="17.25" customHeight="1" x14ac:dyDescent="0.2">
      <c r="A28" s="4">
        <v>5</v>
      </c>
      <c r="B28" s="277" t="s">
        <v>88</v>
      </c>
      <c r="C28" s="278"/>
      <c r="D28" s="278"/>
      <c r="E28" s="278"/>
      <c r="F28" s="279"/>
      <c r="G28" s="158">
        <f>G26+G27</f>
        <v>34903469192.638977</v>
      </c>
      <c r="H28" s="49"/>
    </row>
    <row r="29" spans="1:20" ht="20.5" hidden="1" customHeight="1" x14ac:dyDescent="0.2">
      <c r="A29" s="227" t="s">
        <v>40</v>
      </c>
      <c r="B29" s="280" t="s">
        <v>109</v>
      </c>
      <c r="C29" s="281"/>
      <c r="D29" s="281"/>
      <c r="E29" s="281"/>
      <c r="F29" s="282"/>
      <c r="G29" s="228">
        <f ca="1">S45</f>
        <v>290763321.73461568</v>
      </c>
      <c r="H29" s="159" t="s">
        <v>58</v>
      </c>
    </row>
    <row r="30" spans="1:20" ht="17.25" hidden="1" customHeight="1" x14ac:dyDescent="0.2">
      <c r="A30" s="160">
        <v>1</v>
      </c>
      <c r="B30" s="275" t="s">
        <v>108</v>
      </c>
      <c r="C30" s="276"/>
      <c r="D30" s="276"/>
      <c r="E30" s="276"/>
      <c r="F30" s="276"/>
      <c r="G30" s="158">
        <f ca="1">G31+G32+G33</f>
        <v>34583629538.730896</v>
      </c>
      <c r="H30" s="159" t="s">
        <v>58</v>
      </c>
    </row>
    <row r="31" spans="1:20" ht="17.25" hidden="1" customHeight="1" x14ac:dyDescent="0.2">
      <c r="A31" s="4">
        <v>2</v>
      </c>
      <c r="B31" s="283" t="s">
        <v>89</v>
      </c>
      <c r="C31" s="283"/>
      <c r="D31" s="283"/>
      <c r="E31" s="283"/>
      <c r="F31" s="283"/>
      <c r="G31" s="158">
        <f ca="1">((G24/G9)-(G29/G9))*G9</f>
        <v>31775941394.300812</v>
      </c>
      <c r="H31" s="159" t="s">
        <v>58</v>
      </c>
    </row>
    <row r="32" spans="1:20" ht="17" hidden="1" customHeight="1" x14ac:dyDescent="0.2">
      <c r="A32" s="4">
        <v>3</v>
      </c>
      <c r="B32" s="283" t="s">
        <v>1</v>
      </c>
      <c r="C32" s="283"/>
      <c r="D32" s="283"/>
      <c r="E32" s="283"/>
      <c r="F32" s="283"/>
      <c r="G32" s="158">
        <f ca="1">(G31-G10*G11)*10%</f>
        <v>2633117323.4300814</v>
      </c>
      <c r="H32" s="159" t="s">
        <v>58</v>
      </c>
    </row>
    <row r="33" spans="1:20" ht="17.25" hidden="1" customHeight="1" x14ac:dyDescent="0.2">
      <c r="A33" s="4">
        <v>4</v>
      </c>
      <c r="B33" s="283" t="s">
        <v>2</v>
      </c>
      <c r="C33" s="283"/>
      <c r="D33" s="283"/>
      <c r="E33" s="283"/>
      <c r="F33" s="283"/>
      <c r="G33" s="161">
        <f>G27</f>
        <v>174570821</v>
      </c>
      <c r="H33" s="159" t="s">
        <v>58</v>
      </c>
    </row>
    <row r="34" spans="1:20" ht="17.25" hidden="1" customHeight="1" x14ac:dyDescent="0.2">
      <c r="A34" s="284"/>
      <c r="B34" s="284"/>
      <c r="C34" s="284"/>
      <c r="D34" s="284"/>
      <c r="E34" s="284"/>
      <c r="F34" s="284"/>
      <c r="G34" s="284"/>
      <c r="H34" s="49"/>
    </row>
    <row r="35" spans="1:20" ht="17.25" hidden="1" customHeight="1" x14ac:dyDescent="0.2">
      <c r="A35" s="162" t="s">
        <v>21</v>
      </c>
      <c r="B35" s="163" t="s">
        <v>22</v>
      </c>
      <c r="C35" s="164"/>
      <c r="D35" s="164"/>
      <c r="E35" s="164"/>
      <c r="F35" s="164"/>
      <c r="G35" s="164"/>
    </row>
    <row r="36" spans="1:20" ht="17.25" hidden="1" customHeight="1" x14ac:dyDescent="0.2">
      <c r="A36" s="165">
        <v>1</v>
      </c>
      <c r="B36" s="166" t="s">
        <v>23</v>
      </c>
      <c r="C36" s="167"/>
      <c r="D36" s="167"/>
      <c r="E36" s="168"/>
      <c r="F36" s="168"/>
      <c r="G36" s="168"/>
      <c r="L36" s="169" t="s">
        <v>42</v>
      </c>
      <c r="Q36" s="170">
        <v>0.11</v>
      </c>
    </row>
    <row r="37" spans="1:20" ht="34.5" hidden="1" customHeight="1" x14ac:dyDescent="0.2">
      <c r="A37" s="15" t="s">
        <v>24</v>
      </c>
      <c r="B37" s="16" t="s">
        <v>22</v>
      </c>
      <c r="C37" s="35"/>
      <c r="D37" s="36"/>
      <c r="E37" s="15" t="s">
        <v>3</v>
      </c>
      <c r="F37" s="15" t="s">
        <v>4</v>
      </c>
      <c r="G37" s="15" t="s">
        <v>13</v>
      </c>
      <c r="J37" s="103" t="s">
        <v>107</v>
      </c>
      <c r="K37" s="192">
        <f ca="1">F50</f>
        <v>46084</v>
      </c>
      <c r="L37" s="37" t="s">
        <v>24</v>
      </c>
      <c r="M37" s="38" t="s">
        <v>43</v>
      </c>
      <c r="N37" s="38" t="s">
        <v>44</v>
      </c>
      <c r="O37" s="39" t="s">
        <v>45</v>
      </c>
      <c r="P37" s="38" t="s">
        <v>46</v>
      </c>
      <c r="Q37" s="40" t="s">
        <v>47</v>
      </c>
      <c r="R37" s="38" t="s">
        <v>48</v>
      </c>
      <c r="S37" s="38" t="s">
        <v>49</v>
      </c>
      <c r="T37" s="38" t="s">
        <v>50</v>
      </c>
    </row>
    <row r="38" spans="1:20" ht="20.25" hidden="1" customHeight="1" x14ac:dyDescent="0.2">
      <c r="A38" s="4"/>
      <c r="B38" s="270" t="s">
        <v>110</v>
      </c>
      <c r="C38" s="271"/>
      <c r="D38" s="272"/>
      <c r="E38" s="171"/>
      <c r="F38" s="47">
        <f ca="1">TODAY()</f>
        <v>46084</v>
      </c>
      <c r="G38" s="53">
        <v>300000000</v>
      </c>
      <c r="L38" s="4"/>
      <c r="M38" s="41"/>
      <c r="N38" s="7"/>
      <c r="O38" s="7"/>
      <c r="P38" s="42"/>
      <c r="Q38" s="43"/>
      <c r="R38" s="26"/>
      <c r="S38" s="26"/>
      <c r="T38" s="26"/>
    </row>
    <row r="39" spans="1:20" ht="20.25" hidden="1" customHeight="1" x14ac:dyDescent="0.2">
      <c r="A39" s="17" t="s">
        <v>25</v>
      </c>
      <c r="B39" s="270" t="s">
        <v>159</v>
      </c>
      <c r="C39" s="271"/>
      <c r="D39" s="272"/>
      <c r="E39" s="55">
        <v>0.1</v>
      </c>
      <c r="F39" s="47">
        <f ca="1">F38+5</f>
        <v>46089</v>
      </c>
      <c r="G39" s="48">
        <f>E39*G26-G38</f>
        <v>3172889837.163898</v>
      </c>
      <c r="I39" s="29"/>
      <c r="L39" s="4"/>
      <c r="M39" s="41"/>
      <c r="N39" s="7"/>
      <c r="O39" s="7"/>
      <c r="P39" s="44"/>
      <c r="Q39" s="43"/>
      <c r="R39" s="26"/>
      <c r="S39" s="26"/>
      <c r="T39" s="26"/>
    </row>
    <row r="40" spans="1:20" ht="20.25" hidden="1" customHeight="1" x14ac:dyDescent="0.2">
      <c r="A40" s="109" t="s">
        <v>26</v>
      </c>
      <c r="B40" s="290" t="s">
        <v>101</v>
      </c>
      <c r="C40" s="291"/>
      <c r="D40" s="292"/>
      <c r="E40" s="55">
        <v>0.15</v>
      </c>
      <c r="F40" s="47">
        <f ca="1">IF(WEEKDAY($F$38+25)=1,$F$38+26,$F$38+25)</f>
        <v>46109</v>
      </c>
      <c r="G40" s="48">
        <f>E40*G26</f>
        <v>5209334755.7458467</v>
      </c>
      <c r="H40" s="49"/>
      <c r="I40" s="49"/>
      <c r="L40" s="4"/>
      <c r="M40" s="41"/>
      <c r="N40" s="25"/>
      <c r="O40" s="4"/>
      <c r="P40" s="44"/>
      <c r="Q40" s="43"/>
      <c r="R40" s="45">
        <f>P40-P40*(1/(1+Q40)^O40)</f>
        <v>0</v>
      </c>
      <c r="S40" s="32">
        <f>R40/1.1</f>
        <v>0</v>
      </c>
      <c r="T40" s="45">
        <f>P40-R40</f>
        <v>0</v>
      </c>
    </row>
    <row r="41" spans="1:20" ht="20.25" hidden="1" customHeight="1" x14ac:dyDescent="0.2">
      <c r="A41" s="4" t="s">
        <v>27</v>
      </c>
      <c r="B41" s="270" t="s">
        <v>104</v>
      </c>
      <c r="C41" s="271"/>
      <c r="D41" s="272"/>
      <c r="E41" s="55">
        <v>0.2</v>
      </c>
      <c r="F41" s="47">
        <f ca="1">IF(WEEKDAY($F$38+70)=1,$F$38+71,$F$38+70)</f>
        <v>46154</v>
      </c>
      <c r="G41" s="48">
        <f>E41*G26</f>
        <v>6945779674.327796</v>
      </c>
      <c r="H41" s="56"/>
      <c r="I41" s="29"/>
      <c r="L41" s="4" t="s">
        <v>27</v>
      </c>
      <c r="M41" s="41">
        <f ca="1">F41</f>
        <v>46154</v>
      </c>
      <c r="N41" s="27">
        <f ca="1">F40</f>
        <v>46109</v>
      </c>
      <c r="O41" s="4">
        <f ca="1">IF(OR(M41-N41&lt;1,N41=""),0,M41-N41)</f>
        <v>45</v>
      </c>
      <c r="P41" s="44">
        <f>G41</f>
        <v>6945779674.327796</v>
      </c>
      <c r="Q41" s="43">
        <f>ROUNDDOWN($Q$36/365,7)</f>
        <v>3.0130000000000001E-4</v>
      </c>
      <c r="R41" s="45">
        <f ca="1">P41-P41*(1/(1+Q41)^O41)</f>
        <v>93524804.355446815</v>
      </c>
      <c r="S41" s="214">
        <f ca="1">R41/1.1</f>
        <v>85022549.414042547</v>
      </c>
      <c r="T41" s="45">
        <f ca="1">P41-R41</f>
        <v>6852254869.9723492</v>
      </c>
    </row>
    <row r="42" spans="1:20" ht="20.25" hidden="1" customHeight="1" x14ac:dyDescent="0.2">
      <c r="A42" s="4" t="s">
        <v>28</v>
      </c>
      <c r="B42" s="270" t="s">
        <v>105</v>
      </c>
      <c r="C42" s="271"/>
      <c r="D42" s="272"/>
      <c r="E42" s="55">
        <v>0.2</v>
      </c>
      <c r="F42" s="47">
        <f ca="1">IF(WEEKDAY($F$38+130)=1,$F$38+131,$F$38+130)</f>
        <v>46214</v>
      </c>
      <c r="G42" s="48">
        <f>E42*G26</f>
        <v>6945779674.327796</v>
      </c>
      <c r="L42" s="4" t="s">
        <v>28</v>
      </c>
      <c r="M42" s="41">
        <f ca="1">F42</f>
        <v>46214</v>
      </c>
      <c r="N42" s="27">
        <f ca="1">N41</f>
        <v>46109</v>
      </c>
      <c r="O42" s="4">
        <f ca="1">IF(OR(M42-N42&lt;1,N42=""),0,M42-N42)</f>
        <v>105</v>
      </c>
      <c r="P42" s="44">
        <f>G42</f>
        <v>6945779674.327796</v>
      </c>
      <c r="Q42" s="43">
        <f>ROUNDDOWN($Q$36/365,7)</f>
        <v>3.0130000000000001E-4</v>
      </c>
      <c r="R42" s="45">
        <f ca="1">P42-P42*(1/(1+Q42)^O42)</f>
        <v>216268554.37705135</v>
      </c>
      <c r="S42" s="214">
        <f ca="1">R42/1.1</f>
        <v>196607776.70641032</v>
      </c>
      <c r="T42" s="45">
        <f ca="1">P42-R42</f>
        <v>6729511119.9507446</v>
      </c>
    </row>
    <row r="43" spans="1:20" ht="20.25" hidden="1" customHeight="1" x14ac:dyDescent="0.2">
      <c r="A43" s="4" t="s">
        <v>29</v>
      </c>
      <c r="B43" s="270" t="s">
        <v>106</v>
      </c>
      <c r="C43" s="271"/>
      <c r="D43" s="272"/>
      <c r="E43" s="55">
        <v>0.1</v>
      </c>
      <c r="F43" s="47">
        <f ca="1">IF(WEEKDAY($F$38+190)=1,$F$38+191,$F$38+190)</f>
        <v>46274</v>
      </c>
      <c r="G43" s="48">
        <f>E43*G26</f>
        <v>3472889837.163898</v>
      </c>
      <c r="L43" s="4" t="s">
        <v>29</v>
      </c>
      <c r="M43" s="41">
        <f ca="1">F43</f>
        <v>46274</v>
      </c>
      <c r="N43" s="27">
        <f t="shared" ref="N43:N44" ca="1" si="0">N42</f>
        <v>46109</v>
      </c>
      <c r="O43" s="4">
        <f ca="1">IF(OR(M43-N43&lt;1,N43=""),0,M43-N43)</f>
        <v>165</v>
      </c>
      <c r="P43" s="44">
        <f>G43</f>
        <v>3472889837.163898</v>
      </c>
      <c r="Q43" s="43">
        <f>ROUNDDOWN($Q$36/365,7)</f>
        <v>3.0130000000000001E-4</v>
      </c>
      <c r="R43" s="45">
        <f ca="1">P43-P43*(1/(1+Q43)^O43)</f>
        <v>168406803.99532127</v>
      </c>
      <c r="S43" s="214">
        <f ca="1">R43/1.1</f>
        <v>153097094.54120114</v>
      </c>
      <c r="T43" s="45">
        <f ca="1">P43-R43</f>
        <v>3304483033.1685767</v>
      </c>
    </row>
    <row r="44" spans="1:20" ht="36" hidden="1" customHeight="1" x14ac:dyDescent="0.2">
      <c r="A44" s="4" t="s">
        <v>30</v>
      </c>
      <c r="B44" s="8" t="s">
        <v>38</v>
      </c>
      <c r="C44" s="273" t="str">
        <f>IF(C6="Hoàn thiện","D+340 ngày","D+280 ngày")</f>
        <v>D+280 ngày</v>
      </c>
      <c r="D44" s="274"/>
      <c r="E44" s="46" t="s">
        <v>102</v>
      </c>
      <c r="F44" s="47">
        <f>VLOOKUP(C4:C4,Sheet1!A:J,10,0)</f>
        <v>46075</v>
      </c>
      <c r="G44" s="48">
        <f>25%*G26+G27</f>
        <v>8856795413.9097443</v>
      </c>
      <c r="H44" s="49"/>
      <c r="I44" s="9"/>
      <c r="L44" s="4" t="s">
        <v>30</v>
      </c>
      <c r="M44" s="41">
        <f>F44</f>
        <v>46075</v>
      </c>
      <c r="N44" s="27">
        <f t="shared" ca="1" si="0"/>
        <v>46109</v>
      </c>
      <c r="O44" s="236">
        <f ca="1">IF(OR(M44-N44&lt;1,N44=""),0,M44-N44)-60</f>
        <v>-60</v>
      </c>
      <c r="P44" s="44">
        <f>G44-G27</f>
        <v>8682224592.9097443</v>
      </c>
      <c r="Q44" s="43">
        <f>ROUNDDOWN($Q$36/365,7)</f>
        <v>3.0130000000000001E-4</v>
      </c>
      <c r="R44" s="45">
        <f ca="1">P44-P44*(1/(1+Q44)^O44)</f>
        <v>-158360508.8197422</v>
      </c>
      <c r="S44" s="214">
        <f ca="1">R44/1.1</f>
        <v>-143964098.92703834</v>
      </c>
      <c r="T44" s="45">
        <f ca="1">P44-R44</f>
        <v>8840585101.7294865</v>
      </c>
    </row>
    <row r="45" spans="1:20" ht="36.75" hidden="1" customHeight="1" x14ac:dyDescent="0.2">
      <c r="A45" s="4" t="s">
        <v>31</v>
      </c>
      <c r="B45" s="270" t="s">
        <v>37</v>
      </c>
      <c r="C45" s="271"/>
      <c r="D45" s="272"/>
      <c r="E45" s="172"/>
      <c r="F45" s="47"/>
      <c r="G45" s="53"/>
      <c r="H45" s="49"/>
      <c r="I45" s="9"/>
      <c r="L45" s="18"/>
      <c r="M45" s="19"/>
      <c r="N45" s="19"/>
      <c r="O45" s="19"/>
      <c r="P45" s="50">
        <f>SUM(P39:P44)</f>
        <v>26046673778.729233</v>
      </c>
      <c r="Q45" s="19"/>
      <c r="R45" s="50">
        <f ca="1">SUM(R38:R44)</f>
        <v>319839653.90807724</v>
      </c>
      <c r="S45" s="51">
        <f ca="1">SUM(S38:S44)</f>
        <v>290763321.73461568</v>
      </c>
      <c r="T45" s="50">
        <f ca="1">SUM(T40:T44)</f>
        <v>25726834124.821159</v>
      </c>
    </row>
    <row r="46" spans="1:20" ht="17.25" hidden="1" customHeight="1" x14ac:dyDescent="0.2">
      <c r="A46" s="285" t="s">
        <v>5</v>
      </c>
      <c r="B46" s="286"/>
      <c r="C46" s="286"/>
      <c r="D46" s="287"/>
      <c r="E46" s="173">
        <v>1</v>
      </c>
      <c r="F46" s="174"/>
      <c r="G46" s="174">
        <f>SUM(G38:G44)</f>
        <v>34903469192.638977</v>
      </c>
      <c r="H46" s="175" t="b">
        <f>EXACT(G46,G28)</f>
        <v>1</v>
      </c>
      <c r="J46" s="67"/>
    </row>
    <row r="47" spans="1:20" ht="17.25" hidden="1" customHeight="1" x14ac:dyDescent="0.2">
      <c r="A47" s="176"/>
      <c r="B47" s="177"/>
      <c r="C47" s="177"/>
      <c r="D47" s="177"/>
      <c r="E47" s="177"/>
      <c r="F47" s="177"/>
      <c r="G47" s="177"/>
    </row>
    <row r="48" spans="1:20" ht="17.25" customHeight="1" x14ac:dyDescent="0.2">
      <c r="A48" s="165">
        <v>2</v>
      </c>
      <c r="B48" s="166" t="s">
        <v>73</v>
      </c>
      <c r="C48" s="167"/>
      <c r="D48" s="167"/>
      <c r="E48" s="168"/>
      <c r="F48" s="168"/>
      <c r="G48" s="168"/>
    </row>
    <row r="49" spans="1:20" ht="32.25" customHeight="1" x14ac:dyDescent="0.2">
      <c r="A49" s="15" t="s">
        <v>24</v>
      </c>
      <c r="B49" s="16" t="s">
        <v>22</v>
      </c>
      <c r="C49" s="35"/>
      <c r="D49" s="36"/>
      <c r="E49" s="15" t="s">
        <v>3</v>
      </c>
      <c r="F49" s="52" t="s">
        <v>4</v>
      </c>
      <c r="G49" s="15" t="s">
        <v>13</v>
      </c>
      <c r="H49" s="15" t="s">
        <v>6</v>
      </c>
      <c r="I49" s="15" t="s">
        <v>39</v>
      </c>
    </row>
    <row r="50" spans="1:20" ht="17.25" customHeight="1" x14ac:dyDescent="0.2">
      <c r="A50" s="4"/>
      <c r="B50" s="270" t="s">
        <v>110</v>
      </c>
      <c r="C50" s="271"/>
      <c r="D50" s="272"/>
      <c r="E50" s="171"/>
      <c r="F50" s="47">
        <f ca="1">F38</f>
        <v>46084</v>
      </c>
      <c r="G50" s="53">
        <v>300000000</v>
      </c>
      <c r="H50" s="178">
        <f>G50</f>
        <v>300000000</v>
      </c>
      <c r="I50" s="178"/>
    </row>
    <row r="51" spans="1:20" ht="17.25" customHeight="1" x14ac:dyDescent="0.2">
      <c r="A51" s="17" t="s">
        <v>25</v>
      </c>
      <c r="B51" s="270" t="s">
        <v>159</v>
      </c>
      <c r="C51" s="271"/>
      <c r="D51" s="272"/>
      <c r="E51" s="55">
        <v>0.1</v>
      </c>
      <c r="F51" s="47">
        <f ca="1">F39</f>
        <v>46089</v>
      </c>
      <c r="G51" s="48">
        <f>G$26*$E51-G50</f>
        <v>3172889837.163898</v>
      </c>
      <c r="H51" s="178">
        <f>G51</f>
        <v>3172889837.163898</v>
      </c>
      <c r="I51" s="178"/>
    </row>
    <row r="52" spans="1:20" ht="17.25" customHeight="1" x14ac:dyDescent="0.2">
      <c r="A52" s="288" t="s">
        <v>26</v>
      </c>
      <c r="B52" s="290" t="s">
        <v>103</v>
      </c>
      <c r="C52" s="291"/>
      <c r="D52" s="292"/>
      <c r="E52" s="55">
        <v>0.2</v>
      </c>
      <c r="F52" s="47">
        <f ca="1">IF(WEEKDAY($F$50+24)=1,$F$50+25,$F$50+24)</f>
        <v>46108</v>
      </c>
      <c r="G52" s="48">
        <f>E52*G26</f>
        <v>6945779674.327796</v>
      </c>
      <c r="H52" s="44">
        <f>G52</f>
        <v>6945779674.327796</v>
      </c>
      <c r="I52" s="44"/>
    </row>
    <row r="53" spans="1:20" ht="17.25" customHeight="1" x14ac:dyDescent="0.2">
      <c r="A53" s="289"/>
      <c r="B53" s="290" t="s">
        <v>123</v>
      </c>
      <c r="C53" s="291"/>
      <c r="D53" s="292"/>
      <c r="E53" s="55">
        <v>0.7</v>
      </c>
      <c r="F53" s="47">
        <f ca="1">IF(WEEKDAY($F$50+25)=1,$F$50+26,$F$50+25)</f>
        <v>46109</v>
      </c>
      <c r="G53" s="48">
        <f>E53*G26</f>
        <v>24310228860.147282</v>
      </c>
      <c r="H53" s="44"/>
      <c r="I53" s="44">
        <f>G53</f>
        <v>24310228860.147282</v>
      </c>
    </row>
    <row r="54" spans="1:20" ht="17.25" customHeight="1" x14ac:dyDescent="0.2">
      <c r="A54" s="4" t="s">
        <v>27</v>
      </c>
      <c r="B54" s="57" t="s">
        <v>38</v>
      </c>
      <c r="C54" s="273" t="str">
        <f>IF(C6="Hoàn thiện","D+340 ngày","D+280 ngày")</f>
        <v>D+280 ngày</v>
      </c>
      <c r="D54" s="274"/>
      <c r="E54" s="46" t="s">
        <v>32</v>
      </c>
      <c r="F54" s="47">
        <f>F44</f>
        <v>46075</v>
      </c>
      <c r="G54" s="48">
        <f>G27</f>
        <v>174570821</v>
      </c>
      <c r="H54" s="178">
        <f>G54</f>
        <v>174570821</v>
      </c>
      <c r="I54" s="7"/>
    </row>
    <row r="55" spans="1:20" ht="49.5" customHeight="1" x14ac:dyDescent="0.2">
      <c r="A55" s="4" t="s">
        <v>28</v>
      </c>
      <c r="B55" s="270" t="s">
        <v>37</v>
      </c>
      <c r="C55" s="271"/>
      <c r="D55" s="272"/>
      <c r="E55" s="172"/>
      <c r="F55" s="47"/>
      <c r="G55" s="53"/>
      <c r="H55" s="7"/>
      <c r="I55" s="7"/>
    </row>
    <row r="56" spans="1:20" ht="17.25" customHeight="1" x14ac:dyDescent="0.2">
      <c r="A56" s="293" t="s">
        <v>5</v>
      </c>
      <c r="B56" s="293"/>
      <c r="C56" s="293"/>
      <c r="D56" s="293"/>
      <c r="E56" s="173">
        <f>SUM(E51:E54)</f>
        <v>1</v>
      </c>
      <c r="F56" s="174"/>
      <c r="G56" s="174">
        <f>SUM(G50:G54)</f>
        <v>34903469192.638977</v>
      </c>
      <c r="H56" s="174">
        <f>SUM(H50:H55)</f>
        <v>10593240332.491693</v>
      </c>
      <c r="I56" s="174">
        <f>SUM(I50:I55)</f>
        <v>24310228860.147282</v>
      </c>
      <c r="J56" s="67" t="b">
        <f>EXACT(G56,G28)</f>
        <v>1</v>
      </c>
    </row>
    <row r="57" spans="1:20" ht="17.25" hidden="1" customHeight="1" x14ac:dyDescent="0.2">
      <c r="I57" s="179">
        <f>I56+H56</f>
        <v>34903469192.638977</v>
      </c>
      <c r="J57" s="67" t="b">
        <f>EXACT(I57,G56)</f>
        <v>1</v>
      </c>
    </row>
    <row r="58" spans="1:20" ht="17.25" hidden="1" customHeight="1" x14ac:dyDescent="0.2">
      <c r="A58" s="180">
        <v>3</v>
      </c>
      <c r="B58" s="181" t="s">
        <v>121</v>
      </c>
      <c r="C58" s="182"/>
      <c r="D58" s="182"/>
      <c r="E58" s="183"/>
      <c r="F58" s="183"/>
      <c r="G58" s="183"/>
      <c r="R58" s="8"/>
      <c r="S58" s="8"/>
      <c r="T58" s="8"/>
    </row>
    <row r="59" spans="1:20" ht="34.5" hidden="1" customHeight="1" x14ac:dyDescent="0.2">
      <c r="A59" s="15" t="s">
        <v>24</v>
      </c>
      <c r="B59" s="294" t="s">
        <v>22</v>
      </c>
      <c r="C59" s="295"/>
      <c r="D59" s="295"/>
      <c r="E59" s="15" t="s">
        <v>3</v>
      </c>
      <c r="F59" s="52" t="s">
        <v>4</v>
      </c>
      <c r="G59" s="15" t="s">
        <v>13</v>
      </c>
      <c r="R59" s="8"/>
      <c r="S59" s="8"/>
      <c r="T59" s="8"/>
    </row>
    <row r="60" spans="1:20" ht="24.75" hidden="1" customHeight="1" x14ac:dyDescent="0.2">
      <c r="A60" s="4"/>
      <c r="B60" s="270" t="s">
        <v>110</v>
      </c>
      <c r="C60" s="271"/>
      <c r="D60" s="272"/>
      <c r="E60" s="53"/>
      <c r="F60" s="140">
        <f ca="1">F38</f>
        <v>46084</v>
      </c>
      <c r="G60" s="54">
        <f>G38</f>
        <v>300000000</v>
      </c>
      <c r="R60" s="8"/>
      <c r="S60" s="8"/>
      <c r="T60" s="8"/>
    </row>
    <row r="61" spans="1:20" ht="24.75" hidden="1" customHeight="1" x14ac:dyDescent="0.2">
      <c r="A61" s="4" t="s">
        <v>25</v>
      </c>
      <c r="B61" s="270" t="s">
        <v>159</v>
      </c>
      <c r="C61" s="271"/>
      <c r="D61" s="272"/>
      <c r="E61" s="55">
        <v>0.1</v>
      </c>
      <c r="F61" s="140">
        <f ca="1">F39</f>
        <v>46089</v>
      </c>
      <c r="G61" s="54">
        <f ca="1">E61*(G31+G32)-G60</f>
        <v>3140905871.7730899</v>
      </c>
      <c r="I61" s="29"/>
      <c r="R61" s="8"/>
      <c r="S61" s="8"/>
      <c r="T61" s="8"/>
    </row>
    <row r="62" spans="1:20" ht="24.75" hidden="1" customHeight="1" x14ac:dyDescent="0.2">
      <c r="A62" s="109" t="s">
        <v>26</v>
      </c>
      <c r="B62" s="290" t="s">
        <v>101</v>
      </c>
      <c r="C62" s="291"/>
      <c r="D62" s="292"/>
      <c r="E62" s="55">
        <v>0.9</v>
      </c>
      <c r="F62" s="141">
        <f ca="1">IF(WEEKDAY($F$60+25)=1,$F$60+24,$F$60+25)</f>
        <v>46109</v>
      </c>
      <c r="G62" s="54">
        <f ca="1">E62*(G31+G32)</f>
        <v>30968152845.957806</v>
      </c>
      <c r="H62" s="56"/>
      <c r="I62" s="29"/>
      <c r="R62" s="8"/>
      <c r="S62" s="8"/>
      <c r="T62" s="8"/>
    </row>
    <row r="63" spans="1:20" s="9" customFormat="1" ht="24.75" hidden="1" customHeight="1" x14ac:dyDescent="0.2">
      <c r="A63" s="111" t="s">
        <v>27</v>
      </c>
      <c r="B63" s="57" t="s">
        <v>38</v>
      </c>
      <c r="C63" s="273" t="str">
        <f>IF(C6="Hoàn thiện","D+340 ngày","D+280 ngày")</f>
        <v>D+280 ngày</v>
      </c>
      <c r="D63" s="274"/>
      <c r="E63" s="55" t="s">
        <v>32</v>
      </c>
      <c r="F63" s="141">
        <f>F44</f>
        <v>46075</v>
      </c>
      <c r="G63" s="58">
        <f>G33</f>
        <v>174570821</v>
      </c>
      <c r="H63" s="8"/>
      <c r="I63" s="8"/>
      <c r="K63" s="8"/>
    </row>
    <row r="64" spans="1:20" s="9" customFormat="1" ht="32.25" hidden="1" customHeight="1" x14ac:dyDescent="0.2">
      <c r="A64" s="111" t="s">
        <v>28</v>
      </c>
      <c r="B64" s="270" t="s">
        <v>37</v>
      </c>
      <c r="C64" s="271"/>
      <c r="D64" s="272"/>
      <c r="E64" s="55"/>
      <c r="F64" s="141"/>
      <c r="G64" s="54"/>
      <c r="H64" s="8"/>
      <c r="I64" s="8"/>
      <c r="K64" s="8"/>
    </row>
    <row r="65" spans="1:20" s="9" customFormat="1" ht="17.25" hidden="1" customHeight="1" x14ac:dyDescent="0.2">
      <c r="A65" s="285" t="s">
        <v>5</v>
      </c>
      <c r="B65" s="286"/>
      <c r="C65" s="286"/>
      <c r="D65" s="287"/>
      <c r="E65" s="174"/>
      <c r="F65" s="174"/>
      <c r="G65" s="174">
        <f ca="1">SUM(G60:G63)</f>
        <v>34583629538.730896</v>
      </c>
      <c r="I65" s="157"/>
      <c r="J65" s="229">
        <f ca="1">G65-G30</f>
        <v>0</v>
      </c>
      <c r="K65" s="8"/>
      <c r="L65" s="8"/>
      <c r="M65" s="8"/>
      <c r="R65" s="184"/>
      <c r="S65" s="184"/>
      <c r="T65" s="184"/>
    </row>
    <row r="66" spans="1:20" s="9" customFormat="1" ht="17.25" hidden="1" customHeight="1" x14ac:dyDescent="0.2">
      <c r="A66" s="176"/>
      <c r="B66" s="177"/>
      <c r="C66" s="177"/>
      <c r="D66" s="177"/>
      <c r="E66" s="177"/>
      <c r="F66" s="177"/>
      <c r="G66" s="177"/>
      <c r="H66" s="185"/>
      <c r="I66" s="186"/>
      <c r="K66" s="8"/>
      <c r="L66" s="8"/>
      <c r="M66" s="8"/>
      <c r="R66" s="184"/>
      <c r="S66" s="184"/>
      <c r="T66" s="184"/>
    </row>
    <row r="67" spans="1:20" s="9" customFormat="1" ht="75.75" customHeight="1" x14ac:dyDescent="0.2">
      <c r="A67" s="298" t="s">
        <v>33</v>
      </c>
      <c r="B67" s="299"/>
      <c r="C67" s="299"/>
      <c r="D67" s="299"/>
      <c r="E67" s="299"/>
      <c r="F67" s="299"/>
      <c r="G67" s="299"/>
      <c r="H67" s="8"/>
      <c r="I67" s="8"/>
      <c r="K67" s="8"/>
      <c r="L67" s="8"/>
      <c r="M67" s="8"/>
      <c r="R67" s="184"/>
      <c r="S67" s="184"/>
      <c r="T67" s="184"/>
    </row>
    <row r="68" spans="1:20" s="9" customFormat="1" ht="51" customHeight="1" x14ac:dyDescent="0.2">
      <c r="A68" s="300" t="s">
        <v>74</v>
      </c>
      <c r="B68" s="300"/>
      <c r="C68" s="300"/>
      <c r="D68" s="300"/>
      <c r="E68" s="300"/>
      <c r="F68" s="300"/>
      <c r="G68" s="300"/>
      <c r="H68" s="8"/>
      <c r="I68" s="8"/>
      <c r="K68" s="8"/>
      <c r="L68" s="8"/>
      <c r="M68" s="8"/>
      <c r="R68" s="184"/>
      <c r="S68" s="184"/>
      <c r="T68" s="184"/>
    </row>
    <row r="69" spans="1:20" ht="17.25" customHeight="1" x14ac:dyDescent="0.2">
      <c r="B69" s="187" t="s">
        <v>7</v>
      </c>
      <c r="C69" s="154"/>
      <c r="D69" s="296" t="s">
        <v>35</v>
      </c>
      <c r="E69" s="296"/>
      <c r="F69" s="296" t="s">
        <v>8</v>
      </c>
      <c r="G69" s="296"/>
    </row>
    <row r="70" spans="1:20" ht="17.25" customHeight="1" x14ac:dyDescent="0.2">
      <c r="B70" s="77" t="s">
        <v>9</v>
      </c>
      <c r="D70" s="297" t="s">
        <v>9</v>
      </c>
      <c r="E70" s="297"/>
      <c r="F70" s="297" t="s">
        <v>9</v>
      </c>
      <c r="G70" s="297"/>
    </row>
    <row r="71" spans="1:20" s="9" customFormat="1" ht="17.25" customHeight="1" x14ac:dyDescent="0.2">
      <c r="A71" s="77"/>
      <c r="B71" s="8"/>
      <c r="C71" s="8"/>
      <c r="D71" s="8"/>
      <c r="E71" s="8"/>
      <c r="F71" s="8"/>
      <c r="G71" s="8"/>
      <c r="H71" s="8"/>
      <c r="I71" s="8"/>
      <c r="K71" s="8"/>
      <c r="L71" s="8"/>
      <c r="M71" s="8"/>
      <c r="R71" s="184"/>
      <c r="S71" s="184"/>
      <c r="T71" s="184"/>
    </row>
    <row r="73" spans="1:20" x14ac:dyDescent="0.2">
      <c r="A73" s="8"/>
    </row>
    <row r="74" spans="1:20" x14ac:dyDescent="0.2">
      <c r="A74" s="8"/>
    </row>
    <row r="75" spans="1:20" ht="17.25" customHeight="1" x14ac:dyDescent="0.2">
      <c r="A75" s="8"/>
    </row>
    <row r="76" spans="1:20" ht="17.25" customHeight="1" x14ac:dyDescent="0.2">
      <c r="A76" s="8"/>
    </row>
    <row r="77" spans="1:20" x14ac:dyDescent="0.2">
      <c r="A77" s="8"/>
    </row>
    <row r="78" spans="1:20" x14ac:dyDescent="0.2">
      <c r="A78" s="8"/>
    </row>
    <row r="79" spans="1:20" x14ac:dyDescent="0.2">
      <c r="A79" s="8"/>
    </row>
  </sheetData>
  <protectedRanges>
    <protectedRange sqref="E27:F27 E24:F24 E12:F22" name="Range1"/>
    <protectedRange sqref="E9:E11" name="Range1_1_1_1_1"/>
    <protectedRange sqref="E23:G23 E7:G7" name="Range1_1_1_1"/>
    <protectedRange sqref="C4:C5" name="Range1_1_1_2"/>
    <protectedRange sqref="G24" name="Range1_1"/>
  </protectedRanges>
  <mergeCells count="57">
    <mergeCell ref="D69:E69"/>
    <mergeCell ref="F69:G69"/>
    <mergeCell ref="D70:E70"/>
    <mergeCell ref="F70:G70"/>
    <mergeCell ref="B62:D62"/>
    <mergeCell ref="C63:D63"/>
    <mergeCell ref="B64:D64"/>
    <mergeCell ref="A65:D65"/>
    <mergeCell ref="A67:G67"/>
    <mergeCell ref="A68:G68"/>
    <mergeCell ref="B61:D61"/>
    <mergeCell ref="A46:D46"/>
    <mergeCell ref="B50:D50"/>
    <mergeCell ref="B51:D51"/>
    <mergeCell ref="A52:A53"/>
    <mergeCell ref="B52:D52"/>
    <mergeCell ref="B53:D53"/>
    <mergeCell ref="C54:D54"/>
    <mergeCell ref="B55:D55"/>
    <mergeCell ref="A56:D56"/>
    <mergeCell ref="B59:D59"/>
    <mergeCell ref="B60:D60"/>
    <mergeCell ref="B45:D45"/>
    <mergeCell ref="B31:F31"/>
    <mergeCell ref="B32:F32"/>
    <mergeCell ref="B33:F33"/>
    <mergeCell ref="A34:G34"/>
    <mergeCell ref="B38:D38"/>
    <mergeCell ref="B39:D39"/>
    <mergeCell ref="B40:D40"/>
    <mergeCell ref="B41:D41"/>
    <mergeCell ref="B42:D42"/>
    <mergeCell ref="B43:D43"/>
    <mergeCell ref="C44:D44"/>
    <mergeCell ref="B30:F30"/>
    <mergeCell ref="B16:F16"/>
    <mergeCell ref="A17:A18"/>
    <mergeCell ref="B17:F17"/>
    <mergeCell ref="B18:F18"/>
    <mergeCell ref="B24:F24"/>
    <mergeCell ref="B25:F25"/>
    <mergeCell ref="B26:F26"/>
    <mergeCell ref="B27:F27"/>
    <mergeCell ref="B28:F28"/>
    <mergeCell ref="B29:F29"/>
    <mergeCell ref="B15:F15"/>
    <mergeCell ref="A1:G1"/>
    <mergeCell ref="A2:G2"/>
    <mergeCell ref="B7:F7"/>
    <mergeCell ref="B8:F8"/>
    <mergeCell ref="B9:F9"/>
    <mergeCell ref="B10:F10"/>
    <mergeCell ref="B11:F11"/>
    <mergeCell ref="A12:A14"/>
    <mergeCell ref="B12:F12"/>
    <mergeCell ref="B13:F13"/>
    <mergeCell ref="B14:F14"/>
  </mergeCells>
  <dataValidations count="5">
    <dataValidation type="list" allowBlank="1" showInputMessage="1" showErrorMessage="1" sqref="C6" xr:uid="{3BAB1CAE-864F-144A-9944-90C2E0CAE22C}">
      <formula1>"Hoàn thiện,Thô xây luôn"</formula1>
    </dataValidation>
    <dataValidation type="list" allowBlank="1" showInputMessage="1" showErrorMessage="1" sqref="G12" xr:uid="{436BB91B-1248-0848-BD9D-BB921322EC73}">
      <mc:AlternateContent xmlns:x12ac="http://schemas.microsoft.com/office/spreadsheetml/2011/1/ac" xmlns:mc="http://schemas.openxmlformats.org/markup-compatibility/2006">
        <mc:Choice Requires="x12ac">
          <x12ac:list>0,"4,5%"</x12ac:list>
        </mc:Choice>
        <mc:Fallback>
          <formula1>"0,4,5%"</formula1>
        </mc:Fallback>
      </mc:AlternateContent>
    </dataValidation>
    <dataValidation type="list" allowBlank="1" showInputMessage="1" showErrorMessage="1" sqref="G14" xr:uid="{191D6B0F-CB9B-4446-973A-4089F6FEBB6C}">
      <mc:AlternateContent xmlns:x12ac="http://schemas.microsoft.com/office/spreadsheetml/2011/1/ac" xmlns:mc="http://schemas.openxmlformats.org/markup-compatibility/2006">
        <mc:Choice Requires="x12ac">
          <x12ac:list>0,"10,5%"</x12ac:list>
        </mc:Choice>
        <mc:Fallback>
          <formula1>"0,10,5%"</formula1>
        </mc:Fallback>
      </mc:AlternateContent>
    </dataValidation>
    <dataValidation type="list" allowBlank="1" showInputMessage="1" showErrorMessage="1" sqref="G15" xr:uid="{3FB34D6E-DABD-D544-930D-1DDF65490CC7}">
      <mc:AlternateContent xmlns:x12ac="http://schemas.microsoft.com/office/spreadsheetml/2011/1/ac" xmlns:mc="http://schemas.openxmlformats.org/markup-compatibility/2006">
        <mc:Choice Requires="x12ac">
          <x12ac:list>0,"0,5%"</x12ac:list>
        </mc:Choice>
        <mc:Fallback>
          <formula1>"0,0,5%"</formula1>
        </mc:Fallback>
      </mc:AlternateContent>
    </dataValidation>
    <dataValidation type="list" allowBlank="1" showInputMessage="1" showErrorMessage="1" sqref="G16" xr:uid="{BBCC800E-52B4-D445-8F27-AD86FDFD953B}">
      <formula1>"0,0.15%,0.2%,0.25%"</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BE01A-174D-4A48-B646-4CC37C461A4D}">
  <dimension ref="A1:T82"/>
  <sheetViews>
    <sheetView tabSelected="1" topLeftCell="A12" zoomScaleNormal="60" workbookViewId="0">
      <selection activeCell="G22" sqref="G22"/>
    </sheetView>
  </sheetViews>
  <sheetFormatPr baseColWidth="10" defaultColWidth="9.33203125" defaultRowHeight="16" x14ac:dyDescent="0.2"/>
  <cols>
    <col min="1" max="1" width="8.6640625" style="77" customWidth="1"/>
    <col min="2" max="2" width="50.6640625" style="8" customWidth="1"/>
    <col min="3" max="3" width="19.33203125" style="8" customWidth="1"/>
    <col min="4" max="4" width="19.6640625" style="8" customWidth="1"/>
    <col min="5" max="5" width="21.6640625" style="8" customWidth="1"/>
    <col min="6" max="6" width="19.6640625" style="8" customWidth="1"/>
    <col min="7" max="7" width="35.1640625" style="8" customWidth="1"/>
    <col min="8" max="9" width="28.6640625" style="8" customWidth="1"/>
    <col min="10" max="10" width="16.6640625" style="9" customWidth="1"/>
    <col min="11" max="11" width="14.5" style="8" customWidth="1"/>
    <col min="12" max="12" width="10.33203125" style="8" customWidth="1"/>
    <col min="13" max="13" width="18.5" style="8" customWidth="1"/>
    <col min="14" max="14" width="16.6640625" style="8" customWidth="1"/>
    <col min="15" max="15" width="14.5" style="8" customWidth="1"/>
    <col min="16" max="16" width="21.5" style="8" customWidth="1"/>
    <col min="17" max="17" width="15.6640625" style="8" customWidth="1"/>
    <col min="18" max="18" width="19.33203125" style="10" customWidth="1"/>
    <col min="19" max="19" width="19.6640625" style="10" customWidth="1"/>
    <col min="20" max="20" width="19.33203125" style="10" customWidth="1"/>
    <col min="21" max="16384" width="9.33203125" style="8"/>
  </cols>
  <sheetData>
    <row r="1" spans="1:20" ht="96" customHeight="1" x14ac:dyDescent="0.2">
      <c r="A1" s="245" t="s">
        <v>125</v>
      </c>
      <c r="B1" s="245"/>
      <c r="C1" s="245"/>
      <c r="D1" s="245"/>
      <c r="E1" s="245"/>
      <c r="F1" s="245"/>
      <c r="G1" s="245"/>
    </row>
    <row r="2" spans="1:20" ht="20.25" customHeight="1" x14ac:dyDescent="0.2">
      <c r="A2" s="246"/>
      <c r="B2" s="246"/>
      <c r="C2" s="246"/>
      <c r="D2" s="246"/>
      <c r="E2" s="246"/>
      <c r="F2" s="246"/>
      <c r="G2" s="246"/>
    </row>
    <row r="3" spans="1:20" ht="17.25" customHeight="1" x14ac:dyDescent="0.2">
      <c r="B3" s="142" t="s">
        <v>10</v>
      </c>
      <c r="C3" s="143"/>
      <c r="D3" s="78"/>
      <c r="E3" s="78"/>
      <c r="F3" s="78"/>
      <c r="G3" s="78"/>
      <c r="J3" s="8"/>
    </row>
    <row r="4" spans="1:20" ht="21.75" customHeight="1" x14ac:dyDescent="0.2">
      <c r="B4" s="7" t="s">
        <v>11</v>
      </c>
      <c r="C4" s="144" t="str">
        <f>TTTĐ!C4</f>
        <v>ĐLBM-123</v>
      </c>
      <c r="D4" s="78"/>
      <c r="E4" s="78"/>
      <c r="F4" s="78"/>
      <c r="G4" s="78"/>
    </row>
    <row r="5" spans="1:20" ht="21.75" customHeight="1" x14ac:dyDescent="0.2">
      <c r="B5" s="7" t="s">
        <v>152</v>
      </c>
      <c r="C5" s="233">
        <f>VLOOKUP(C4,Sheet1!A:E,5,0)</f>
        <v>39914809997</v>
      </c>
      <c r="D5" s="78"/>
      <c r="E5" s="78"/>
      <c r="F5" s="79"/>
      <c r="G5" s="79"/>
      <c r="J5" s="71"/>
      <c r="K5" s="72"/>
      <c r="L5" s="72"/>
      <c r="M5" s="72"/>
      <c r="N5" s="72"/>
      <c r="O5" s="72"/>
      <c r="P5" s="72"/>
    </row>
    <row r="6" spans="1:20" ht="21.75" customHeight="1" x14ac:dyDescent="0.2">
      <c r="B6" s="12" t="s">
        <v>36</v>
      </c>
      <c r="C6" s="145" t="s">
        <v>160</v>
      </c>
      <c r="D6" s="60"/>
      <c r="E6" s="60"/>
      <c r="F6" s="60"/>
      <c r="G6" s="78"/>
      <c r="J6" s="71"/>
      <c r="K6" s="72"/>
      <c r="L6" s="72"/>
      <c r="M6" s="72"/>
      <c r="N6" s="72"/>
      <c r="O6" s="72"/>
      <c r="P6" s="72"/>
    </row>
    <row r="7" spans="1:20" ht="17.25" customHeight="1" x14ac:dyDescent="0.2">
      <c r="A7" s="80" t="s">
        <v>12</v>
      </c>
      <c r="B7" s="247" t="s">
        <v>91</v>
      </c>
      <c r="C7" s="248"/>
      <c r="D7" s="248"/>
      <c r="E7" s="248"/>
      <c r="F7" s="249"/>
      <c r="G7" s="80" t="s">
        <v>13</v>
      </c>
      <c r="J7" s="71" t="s">
        <v>14</v>
      </c>
      <c r="K7" s="72"/>
      <c r="L7" s="72"/>
      <c r="M7" s="72"/>
      <c r="N7" s="72"/>
      <c r="O7" s="72"/>
      <c r="P7" s="72"/>
    </row>
    <row r="8" spans="1:20" ht="17.25" customHeight="1" x14ac:dyDescent="0.2">
      <c r="A8" s="109">
        <v>1</v>
      </c>
      <c r="B8" s="250" t="s">
        <v>92</v>
      </c>
      <c r="C8" s="251"/>
      <c r="D8" s="251"/>
      <c r="E8" s="251"/>
      <c r="F8" s="252"/>
      <c r="G8" s="230">
        <f>VLOOKUP(C4,Sheet1!A:H,8,0)</f>
        <v>86618895.657521278</v>
      </c>
      <c r="J8" s="71"/>
      <c r="K8" s="72"/>
      <c r="L8" s="72"/>
      <c r="M8" s="72"/>
      <c r="N8" s="72"/>
      <c r="O8" s="72"/>
      <c r="P8" s="72"/>
    </row>
    <row r="9" spans="1:20" ht="17.25" customHeight="1" x14ac:dyDescent="0.2">
      <c r="A9" s="4">
        <v>2</v>
      </c>
      <c r="B9" s="253" t="s">
        <v>56</v>
      </c>
      <c r="C9" s="254"/>
      <c r="D9" s="254"/>
      <c r="E9" s="254"/>
      <c r="F9" s="255"/>
      <c r="G9" s="82">
        <f>VLOOKUP(C4,Sheet1!A:G,7,0)</f>
        <v>422.8</v>
      </c>
      <c r="J9" s="146"/>
      <c r="K9" s="146"/>
      <c r="L9" s="146"/>
      <c r="M9" s="146"/>
      <c r="N9" s="72"/>
      <c r="O9" s="72"/>
      <c r="P9" s="72"/>
    </row>
    <row r="10" spans="1:20" ht="17.25" customHeight="1" x14ac:dyDescent="0.2">
      <c r="A10" s="4">
        <v>3</v>
      </c>
      <c r="B10" s="253" t="s">
        <v>15</v>
      </c>
      <c r="C10" s="254"/>
      <c r="D10" s="254"/>
      <c r="E10" s="254"/>
      <c r="F10" s="255"/>
      <c r="G10" s="82">
        <f>VLOOKUP(C4,Sheet1!A:F,6,0)</f>
        <v>136</v>
      </c>
      <c r="J10" s="72"/>
      <c r="K10" s="72"/>
      <c r="L10" s="72"/>
      <c r="M10" s="72"/>
      <c r="N10" s="72"/>
      <c r="O10" s="72"/>
      <c r="P10" s="72"/>
    </row>
    <row r="11" spans="1:20" ht="17.25" customHeight="1" x14ac:dyDescent="0.2">
      <c r="A11" s="17">
        <v>4</v>
      </c>
      <c r="B11" s="253" t="s">
        <v>90</v>
      </c>
      <c r="C11" s="254"/>
      <c r="D11" s="254"/>
      <c r="E11" s="254"/>
      <c r="F11" s="255"/>
      <c r="G11" s="83">
        <v>40035060</v>
      </c>
      <c r="J11" s="72"/>
      <c r="K11" s="72"/>
      <c r="L11" s="72"/>
      <c r="M11" s="72"/>
      <c r="N11" s="72"/>
      <c r="O11" s="72"/>
      <c r="P11" s="72"/>
    </row>
    <row r="12" spans="1:20" s="200" customFormat="1" ht="16.5" customHeight="1" x14ac:dyDescent="0.2">
      <c r="A12" s="256">
        <v>5</v>
      </c>
      <c r="B12" s="259" t="s">
        <v>51</v>
      </c>
      <c r="C12" s="260"/>
      <c r="D12" s="260"/>
      <c r="E12" s="260"/>
      <c r="F12" s="261"/>
      <c r="G12" s="194">
        <v>0</v>
      </c>
      <c r="H12" s="199"/>
      <c r="L12" s="201"/>
      <c r="R12" s="202"/>
      <c r="S12" s="202"/>
      <c r="T12" s="202"/>
    </row>
    <row r="13" spans="1:20" s="200" customFormat="1" ht="17.25" customHeight="1" x14ac:dyDescent="0.2">
      <c r="A13" s="257"/>
      <c r="B13" s="259" t="s">
        <v>53</v>
      </c>
      <c r="C13" s="260"/>
      <c r="D13" s="260"/>
      <c r="E13" s="260"/>
      <c r="F13" s="261"/>
      <c r="G13" s="210">
        <v>0</v>
      </c>
      <c r="H13" s="205"/>
      <c r="L13" s="201"/>
      <c r="R13" s="202"/>
      <c r="S13" s="202"/>
      <c r="T13" s="202"/>
    </row>
    <row r="14" spans="1:20" s="23" customFormat="1" ht="17.25" customHeight="1" x14ac:dyDescent="0.2">
      <c r="A14" s="258"/>
      <c r="B14" s="262" t="s">
        <v>122</v>
      </c>
      <c r="C14" s="263"/>
      <c r="D14" s="263"/>
      <c r="E14" s="263"/>
      <c r="F14" s="264"/>
      <c r="G14" s="194">
        <v>0.105</v>
      </c>
      <c r="H14" s="96"/>
      <c r="J14" s="67"/>
      <c r="M14" s="147"/>
      <c r="R14" s="69"/>
      <c r="S14" s="69"/>
      <c r="T14" s="69"/>
    </row>
    <row r="15" spans="1:20" s="86" customFormat="1" ht="17.25" customHeight="1" x14ac:dyDescent="0.2">
      <c r="A15" s="91">
        <v>6</v>
      </c>
      <c r="B15" s="242" t="s">
        <v>124</v>
      </c>
      <c r="C15" s="243"/>
      <c r="D15" s="243"/>
      <c r="E15" s="243"/>
      <c r="F15" s="244"/>
      <c r="G15" s="84">
        <v>5.0000000000000001E-3</v>
      </c>
      <c r="H15" s="85" t="s">
        <v>100</v>
      </c>
      <c r="J15" s="89"/>
      <c r="M15" s="90"/>
      <c r="R15" s="88"/>
      <c r="S15" s="88"/>
      <c r="T15" s="88"/>
    </row>
    <row r="16" spans="1:20" s="196" customFormat="1" ht="17.25" customHeight="1" x14ac:dyDescent="0.2">
      <c r="A16" s="208">
        <v>7</v>
      </c>
      <c r="B16" s="259" t="s">
        <v>54</v>
      </c>
      <c r="C16" s="260"/>
      <c r="D16" s="260"/>
      <c r="E16" s="260"/>
      <c r="F16" s="261"/>
      <c r="G16" s="209">
        <v>0</v>
      </c>
      <c r="H16" s="195"/>
      <c r="J16" s="197"/>
      <c r="M16" s="203"/>
      <c r="R16" s="198"/>
      <c r="S16" s="198"/>
      <c r="T16" s="198"/>
    </row>
    <row r="17" spans="1:20" s="200" customFormat="1" ht="17.25" customHeight="1" x14ac:dyDescent="0.2">
      <c r="A17" s="265"/>
      <c r="B17" s="259" t="s">
        <v>179</v>
      </c>
      <c r="C17" s="260"/>
      <c r="D17" s="260"/>
      <c r="E17" s="260"/>
      <c r="F17" s="261"/>
      <c r="G17" s="204">
        <v>0.05</v>
      </c>
      <c r="H17" s="205" t="s">
        <v>97</v>
      </c>
      <c r="J17" s="206"/>
      <c r="M17" s="201"/>
      <c r="R17" s="202"/>
      <c r="S17" s="202"/>
      <c r="T17" s="202"/>
    </row>
    <row r="18" spans="1:20" s="200" customFormat="1" ht="17.25" hidden="1" customHeight="1" x14ac:dyDescent="0.2">
      <c r="A18" s="266"/>
      <c r="B18" s="259" t="s">
        <v>55</v>
      </c>
      <c r="C18" s="260"/>
      <c r="D18" s="260"/>
      <c r="E18" s="260"/>
      <c r="F18" s="261"/>
      <c r="G18" s="207" t="e">
        <f>IF(#REF!=9%,(((G8-G20/G9)*(1-G12)*(1-G14)*(1-G15)*(1-G16))*G9)*2.7%,0)</f>
        <v>#REF!</v>
      </c>
      <c r="H18" s="205" t="s">
        <v>97</v>
      </c>
      <c r="J18" s="206"/>
      <c r="M18" s="201"/>
      <c r="R18" s="202"/>
      <c r="S18" s="202"/>
      <c r="T18" s="202"/>
    </row>
    <row r="19" spans="1:20" s="200" customFormat="1" ht="17.25" customHeight="1" x14ac:dyDescent="0.2">
      <c r="A19" s="241"/>
      <c r="B19" s="213" t="s">
        <v>210</v>
      </c>
      <c r="C19" s="376"/>
      <c r="D19" s="376"/>
      <c r="E19" s="376"/>
      <c r="F19" s="377"/>
      <c r="G19" s="378">
        <v>7.0000000000000007E-2</v>
      </c>
      <c r="H19" s="205"/>
      <c r="J19" s="206"/>
      <c r="M19" s="201"/>
      <c r="R19" s="202"/>
      <c r="S19" s="202"/>
      <c r="T19" s="202"/>
    </row>
    <row r="20" spans="1:20" s="23" customFormat="1" ht="17.25" customHeight="1" x14ac:dyDescent="0.2">
      <c r="A20" s="3">
        <v>9</v>
      </c>
      <c r="B20" s="213" t="s">
        <v>57</v>
      </c>
      <c r="C20" s="93"/>
      <c r="D20" s="93"/>
      <c r="E20" s="93"/>
      <c r="F20" s="94"/>
      <c r="G20" s="148">
        <f>TTTĐ!G20</f>
        <v>145000000</v>
      </c>
      <c r="J20" s="67"/>
      <c r="M20" s="68"/>
      <c r="R20" s="69"/>
      <c r="S20" s="69"/>
      <c r="T20" s="69"/>
    </row>
    <row r="21" spans="1:20" s="23" customFormat="1" ht="17.25" customHeight="1" x14ac:dyDescent="0.2">
      <c r="A21" s="97">
        <v>10</v>
      </c>
      <c r="B21" s="98" t="s">
        <v>93</v>
      </c>
      <c r="C21" s="93"/>
      <c r="D21" s="93"/>
      <c r="E21" s="93"/>
      <c r="F21" s="94"/>
      <c r="G21" s="240">
        <f>(G8-G20/G9)*(1-G12)*(1-G14)*(1-G15)*(1-G16)*(1-G17)*(1-G19)</f>
        <v>67880086.851588696</v>
      </c>
      <c r="H21" s="100" t="s">
        <v>208</v>
      </c>
      <c r="I21" s="100"/>
      <c r="J21" s="67"/>
      <c r="M21" s="68"/>
      <c r="R21" s="69"/>
      <c r="S21" s="69"/>
      <c r="T21" s="69"/>
    </row>
    <row r="22" spans="1:20" s="23" customFormat="1" ht="17.25" customHeight="1" x14ac:dyDescent="0.2">
      <c r="A22" s="97">
        <v>11</v>
      </c>
      <c r="B22" s="98" t="s">
        <v>94</v>
      </c>
      <c r="C22" s="93"/>
      <c r="D22" s="93"/>
      <c r="E22" s="93"/>
      <c r="F22" s="94"/>
      <c r="G22" s="99"/>
      <c r="H22" s="102"/>
      <c r="J22" s="67"/>
      <c r="M22" s="68"/>
      <c r="R22" s="69"/>
      <c r="S22" s="69"/>
      <c r="T22" s="69"/>
    </row>
    <row r="23" spans="1:20" ht="17.25" customHeight="1" x14ac:dyDescent="0.2">
      <c r="A23" s="64" t="s">
        <v>18</v>
      </c>
      <c r="B23" s="142" t="s">
        <v>41</v>
      </c>
      <c r="C23" s="143"/>
      <c r="D23" s="143"/>
      <c r="E23" s="149"/>
      <c r="F23" s="150"/>
      <c r="G23" s="151" t="s">
        <v>19</v>
      </c>
      <c r="H23" s="191"/>
      <c r="I23" s="29"/>
      <c r="J23" s="71" t="s">
        <v>16</v>
      </c>
      <c r="K23" s="72"/>
      <c r="L23" s="72"/>
      <c r="M23" s="73">
        <v>5.0000000000000001E-3</v>
      </c>
      <c r="N23" s="72" t="s">
        <v>17</v>
      </c>
      <c r="O23" s="72"/>
      <c r="P23" s="72"/>
    </row>
    <row r="24" spans="1:20" s="154" customFormat="1" ht="17.25" customHeight="1" x14ac:dyDescent="0.2">
      <c r="A24" s="4">
        <v>1</v>
      </c>
      <c r="B24" s="267" t="s">
        <v>87</v>
      </c>
      <c r="C24" s="268"/>
      <c r="D24" s="268"/>
      <c r="E24" s="268"/>
      <c r="F24" s="269"/>
      <c r="G24" s="152">
        <f>G21*G9</f>
        <v>28699700720.8517</v>
      </c>
      <c r="H24" s="153"/>
      <c r="I24" s="118"/>
      <c r="J24" s="155"/>
      <c r="K24" s="146"/>
      <c r="L24" s="146"/>
      <c r="M24" s="146"/>
      <c r="N24" s="146"/>
      <c r="O24" s="146"/>
      <c r="P24" s="146"/>
      <c r="R24" s="122"/>
      <c r="S24" s="122"/>
      <c r="T24" s="122"/>
    </row>
    <row r="25" spans="1:20" ht="17.25" customHeight="1" x14ac:dyDescent="0.2">
      <c r="A25" s="4">
        <v>2</v>
      </c>
      <c r="B25" s="250" t="s">
        <v>20</v>
      </c>
      <c r="C25" s="251"/>
      <c r="D25" s="251"/>
      <c r="E25" s="251"/>
      <c r="F25" s="252"/>
      <c r="G25" s="152">
        <f>(G24-G10*G11)*10%</f>
        <v>2325493256.0851703</v>
      </c>
      <c r="H25" s="102"/>
    </row>
    <row r="26" spans="1:20" ht="17.25" customHeight="1" x14ac:dyDescent="0.2">
      <c r="A26" s="4">
        <v>3</v>
      </c>
      <c r="B26" s="267" t="s">
        <v>86</v>
      </c>
      <c r="C26" s="268"/>
      <c r="D26" s="268"/>
      <c r="E26" s="268"/>
      <c r="F26" s="269"/>
      <c r="G26" s="152">
        <f>G24+G25</f>
        <v>31025193976.936871</v>
      </c>
      <c r="H26" s="49"/>
    </row>
    <row r="27" spans="1:20" ht="17.25" customHeight="1" x14ac:dyDescent="0.2">
      <c r="A27" s="4">
        <v>4</v>
      </c>
      <c r="B27" s="267" t="s">
        <v>2</v>
      </c>
      <c r="C27" s="268"/>
      <c r="D27" s="268"/>
      <c r="E27" s="268"/>
      <c r="F27" s="269"/>
      <c r="G27" s="156">
        <f>VLOOKUP(C4,Sheet1!A:D,4,0)</f>
        <v>174570821</v>
      </c>
      <c r="H27" s="86"/>
      <c r="M27" s="157"/>
    </row>
    <row r="28" spans="1:20" ht="17" customHeight="1" x14ac:dyDescent="0.2">
      <c r="A28" s="4">
        <v>5</v>
      </c>
      <c r="B28" s="277" t="s">
        <v>88</v>
      </c>
      <c r="C28" s="278"/>
      <c r="D28" s="278"/>
      <c r="E28" s="278"/>
      <c r="F28" s="279"/>
      <c r="G28" s="158">
        <f>G26+G27</f>
        <v>31199764797.936871</v>
      </c>
      <c r="H28" s="49"/>
    </row>
    <row r="29" spans="1:20" ht="20.5" customHeight="1" x14ac:dyDescent="0.2">
      <c r="A29" s="227" t="s">
        <v>40</v>
      </c>
      <c r="B29" s="280" t="s">
        <v>109</v>
      </c>
      <c r="C29" s="281"/>
      <c r="D29" s="281"/>
      <c r="E29" s="281"/>
      <c r="F29" s="282"/>
      <c r="G29" s="228">
        <f>S68</f>
        <v>0</v>
      </c>
      <c r="H29" s="159" t="s">
        <v>58</v>
      </c>
    </row>
    <row r="30" spans="1:20" ht="17.25" customHeight="1" x14ac:dyDescent="0.2">
      <c r="A30" s="160">
        <v>1</v>
      </c>
      <c r="B30" s="275" t="s">
        <v>108</v>
      </c>
      <c r="C30" s="276"/>
      <c r="D30" s="276"/>
      <c r="E30" s="276"/>
      <c r="F30" s="276"/>
      <c r="G30" s="158">
        <f>G31+G32+G33</f>
        <v>31199764797.936871</v>
      </c>
      <c r="H30" s="159" t="s">
        <v>58</v>
      </c>
    </row>
    <row r="31" spans="1:20" ht="17.25" customHeight="1" x14ac:dyDescent="0.2">
      <c r="A31" s="4">
        <v>2</v>
      </c>
      <c r="B31" s="283" t="s">
        <v>89</v>
      </c>
      <c r="C31" s="283"/>
      <c r="D31" s="283"/>
      <c r="E31" s="283"/>
      <c r="F31" s="283"/>
      <c r="G31" s="158">
        <f>((G24/G9)-(G29/G9))*G9</f>
        <v>28699700720.8517</v>
      </c>
      <c r="H31" s="159" t="s">
        <v>58</v>
      </c>
    </row>
    <row r="32" spans="1:20" ht="17" customHeight="1" x14ac:dyDescent="0.2">
      <c r="A32" s="4">
        <v>3</v>
      </c>
      <c r="B32" s="283" t="s">
        <v>1</v>
      </c>
      <c r="C32" s="283"/>
      <c r="D32" s="283"/>
      <c r="E32" s="283"/>
      <c r="F32" s="283"/>
      <c r="G32" s="158">
        <f>(G31-G10*G11)*10%</f>
        <v>2325493256.0851703</v>
      </c>
      <c r="H32" s="159" t="s">
        <v>58</v>
      </c>
    </row>
    <row r="33" spans="1:10" ht="17.25" customHeight="1" x14ac:dyDescent="0.2">
      <c r="A33" s="4">
        <v>4</v>
      </c>
      <c r="B33" s="283" t="s">
        <v>2</v>
      </c>
      <c r="C33" s="283"/>
      <c r="D33" s="283"/>
      <c r="E33" s="283"/>
      <c r="F33" s="283"/>
      <c r="G33" s="161">
        <f>G27</f>
        <v>174570821</v>
      </c>
      <c r="H33" s="159" t="s">
        <v>58</v>
      </c>
    </row>
    <row r="34" spans="1:10" ht="17.25" customHeight="1" x14ac:dyDescent="0.2">
      <c r="A34" s="284"/>
      <c r="B34" s="284"/>
      <c r="C34" s="284"/>
      <c r="D34" s="284"/>
      <c r="E34" s="284"/>
      <c r="F34" s="284"/>
      <c r="G34" s="284"/>
      <c r="H34" s="49"/>
    </row>
    <row r="35" spans="1:10" ht="17.25" hidden="1" customHeight="1" x14ac:dyDescent="0.2"/>
    <row r="36" spans="1:10" ht="17.25" hidden="1" customHeight="1" x14ac:dyDescent="0.2"/>
    <row r="37" spans="1:10" ht="34.5" hidden="1" customHeight="1" x14ac:dyDescent="0.2"/>
    <row r="38" spans="1:10" ht="20.25" hidden="1" customHeight="1" x14ac:dyDescent="0.2"/>
    <row r="39" spans="1:10" ht="20.25" hidden="1" customHeight="1" x14ac:dyDescent="0.2">
      <c r="I39" s="29"/>
    </row>
    <row r="40" spans="1:10" ht="20.25" hidden="1" customHeight="1" x14ac:dyDescent="0.2">
      <c r="H40" s="49"/>
      <c r="I40" s="49"/>
    </row>
    <row r="41" spans="1:10" ht="20.25" hidden="1" customHeight="1" x14ac:dyDescent="0.2">
      <c r="H41" s="56"/>
      <c r="I41" s="29"/>
    </row>
    <row r="42" spans="1:10" ht="20.25" hidden="1" customHeight="1" x14ac:dyDescent="0.2"/>
    <row r="43" spans="1:10" ht="20.25" hidden="1" customHeight="1" x14ac:dyDescent="0.2"/>
    <row r="44" spans="1:10" ht="36" hidden="1" customHeight="1" x14ac:dyDescent="0.2">
      <c r="H44" s="49"/>
      <c r="I44" s="9"/>
    </row>
    <row r="45" spans="1:10" ht="36.75" hidden="1" customHeight="1" x14ac:dyDescent="0.2">
      <c r="H45" s="49"/>
      <c r="I45" s="9"/>
    </row>
    <row r="46" spans="1:10" ht="17.25" hidden="1" customHeight="1" x14ac:dyDescent="0.2">
      <c r="H46" s="175" t="b">
        <f>EXACT(R82,G28)</f>
        <v>1</v>
      </c>
      <c r="J46" s="67"/>
    </row>
    <row r="47" spans="1:10" ht="17.25" hidden="1" customHeight="1" x14ac:dyDescent="0.2">
      <c r="A47" s="176"/>
      <c r="B47" s="177"/>
      <c r="C47" s="177"/>
      <c r="D47" s="177"/>
      <c r="E47" s="177"/>
      <c r="F47" s="177"/>
      <c r="G47" s="177"/>
    </row>
    <row r="48" spans="1:10" ht="17.25" hidden="1" customHeight="1" x14ac:dyDescent="0.2">
      <c r="A48" s="165">
        <v>2</v>
      </c>
      <c r="B48" s="166" t="s">
        <v>73</v>
      </c>
      <c r="C48" s="167"/>
      <c r="D48" s="167"/>
      <c r="E48" s="168"/>
      <c r="F48" s="168"/>
      <c r="G48" s="168"/>
    </row>
    <row r="49" spans="1:20" ht="32.25" hidden="1" customHeight="1" x14ac:dyDescent="0.2">
      <c r="A49" s="15" t="s">
        <v>24</v>
      </c>
      <c r="B49" s="16" t="s">
        <v>22</v>
      </c>
      <c r="C49" s="35"/>
      <c r="D49" s="36"/>
      <c r="E49" s="15" t="s">
        <v>3</v>
      </c>
      <c r="F49" s="52" t="s">
        <v>4</v>
      </c>
      <c r="G49" s="15" t="s">
        <v>13</v>
      </c>
      <c r="H49" s="15" t="s">
        <v>6</v>
      </c>
      <c r="I49" s="15" t="s">
        <v>39</v>
      </c>
    </row>
    <row r="50" spans="1:20" ht="17.25" hidden="1" customHeight="1" x14ac:dyDescent="0.2">
      <c r="A50" s="4"/>
      <c r="B50" s="270" t="s">
        <v>110</v>
      </c>
      <c r="C50" s="271"/>
      <c r="D50" s="272"/>
      <c r="E50" s="171"/>
      <c r="F50" s="47">
        <f ca="1">Q74</f>
        <v>46084</v>
      </c>
      <c r="G50" s="53">
        <f>R74</f>
        <v>300000000</v>
      </c>
      <c r="H50" s="178">
        <f>G50</f>
        <v>300000000</v>
      </c>
      <c r="I50" s="178"/>
    </row>
    <row r="51" spans="1:20" ht="17.25" hidden="1" customHeight="1" x14ac:dyDescent="0.2">
      <c r="A51" s="17" t="s">
        <v>25</v>
      </c>
      <c r="B51" s="270" t="s">
        <v>159</v>
      </c>
      <c r="C51" s="271"/>
      <c r="D51" s="272"/>
      <c r="E51" s="55">
        <v>0.1</v>
      </c>
      <c r="F51" s="47">
        <f ca="1">Q75</f>
        <v>46089</v>
      </c>
      <c r="G51" s="48">
        <f>G$26*$E51-G50</f>
        <v>2802519397.6936874</v>
      </c>
      <c r="H51" s="178">
        <f>G51</f>
        <v>2802519397.6936874</v>
      </c>
      <c r="I51" s="178"/>
    </row>
    <row r="52" spans="1:20" ht="17.25" hidden="1" customHeight="1" x14ac:dyDescent="0.2">
      <c r="A52" s="288" t="s">
        <v>26</v>
      </c>
      <c r="B52" s="290" t="s">
        <v>103</v>
      </c>
      <c r="C52" s="291"/>
      <c r="D52" s="292"/>
      <c r="E52" s="55">
        <v>0.2</v>
      </c>
      <c r="F52" s="47">
        <f ca="1">IF(WEEKDAY($F$50+24)=1,$F$50+25,$F$50+24)</f>
        <v>46108</v>
      </c>
      <c r="G52" s="48">
        <f>E52*G26</f>
        <v>6205038795.3873749</v>
      </c>
      <c r="H52" s="44">
        <f>G52</f>
        <v>6205038795.3873749</v>
      </c>
      <c r="I52" s="44"/>
    </row>
    <row r="53" spans="1:20" ht="17.25" hidden="1" customHeight="1" x14ac:dyDescent="0.2">
      <c r="A53" s="289"/>
      <c r="B53" s="290" t="s">
        <v>123</v>
      </c>
      <c r="C53" s="291"/>
      <c r="D53" s="292"/>
      <c r="E53" s="55">
        <v>0.7</v>
      </c>
      <c r="F53" s="47">
        <f ca="1">IF(WEEKDAY($F$50+25)=1,$F$50+26,$F$50+25)</f>
        <v>46109</v>
      </c>
      <c r="G53" s="48">
        <f>E53*G26</f>
        <v>21717635783.855808</v>
      </c>
      <c r="H53" s="44"/>
      <c r="I53" s="44">
        <f>G53</f>
        <v>21717635783.855808</v>
      </c>
    </row>
    <row r="54" spans="1:20" ht="17.25" hidden="1" customHeight="1" x14ac:dyDescent="0.2">
      <c r="A54" s="4" t="s">
        <v>27</v>
      </c>
      <c r="B54" s="57" t="s">
        <v>38</v>
      </c>
      <c r="C54" s="273" t="str">
        <f>IF(C6="Hoàn thiện","D+340 ngày","D+280 ngày")</f>
        <v>D+280 ngày</v>
      </c>
      <c r="D54" s="274"/>
      <c r="E54" s="46" t="s">
        <v>32</v>
      </c>
      <c r="F54" s="47">
        <f>Q80</f>
        <v>46075</v>
      </c>
      <c r="G54" s="48">
        <f>G27</f>
        <v>174570821</v>
      </c>
      <c r="H54" s="178">
        <f>G54</f>
        <v>174570821</v>
      </c>
      <c r="I54" s="7"/>
    </row>
    <row r="55" spans="1:20" ht="49.5" hidden="1" customHeight="1" x14ac:dyDescent="0.2">
      <c r="A55" s="4" t="s">
        <v>28</v>
      </c>
      <c r="B55" s="270" t="s">
        <v>37</v>
      </c>
      <c r="C55" s="271"/>
      <c r="D55" s="272"/>
      <c r="E55" s="172"/>
      <c r="F55" s="47"/>
      <c r="G55" s="53"/>
      <c r="H55" s="7"/>
      <c r="I55" s="7"/>
    </row>
    <row r="56" spans="1:20" ht="17.25" hidden="1" customHeight="1" x14ac:dyDescent="0.2">
      <c r="A56" s="293" t="s">
        <v>5</v>
      </c>
      <c r="B56" s="293"/>
      <c r="C56" s="293"/>
      <c r="D56" s="293"/>
      <c r="E56" s="173">
        <f>SUM(E51:E54)</f>
        <v>1</v>
      </c>
      <c r="F56" s="174"/>
      <c r="G56" s="174">
        <f>SUM(G50:G54)</f>
        <v>31199764797.936871</v>
      </c>
      <c r="H56" s="174">
        <f>SUM(H50:H55)</f>
        <v>9482129014.0810623</v>
      </c>
      <c r="I56" s="174">
        <f>SUM(I50:I55)</f>
        <v>21717635783.855808</v>
      </c>
      <c r="J56" s="67" t="b">
        <f>EXACT(G56,G28)</f>
        <v>1</v>
      </c>
    </row>
    <row r="57" spans="1:20" ht="17.25" hidden="1" customHeight="1" x14ac:dyDescent="0.2">
      <c r="I57" s="179">
        <f>I56+H56</f>
        <v>31199764797.936871</v>
      </c>
      <c r="J57" s="67" t="b">
        <f>EXACT(I57,G56)</f>
        <v>1</v>
      </c>
    </row>
    <row r="58" spans="1:20" ht="17.25" customHeight="1" x14ac:dyDescent="0.2">
      <c r="A58" s="180">
        <v>3</v>
      </c>
      <c r="B58" s="181" t="s">
        <v>121</v>
      </c>
      <c r="C58" s="182"/>
      <c r="D58" s="182"/>
      <c r="E58" s="183"/>
      <c r="F58" s="183"/>
      <c r="G58" s="183"/>
      <c r="R58" s="8"/>
      <c r="S58" s="8"/>
      <c r="T58" s="8"/>
    </row>
    <row r="59" spans="1:20" ht="34.5" customHeight="1" x14ac:dyDescent="0.2">
      <c r="A59" s="15" t="s">
        <v>24</v>
      </c>
      <c r="B59" s="294" t="s">
        <v>22</v>
      </c>
      <c r="C59" s="295"/>
      <c r="D59" s="295"/>
      <c r="E59" s="15" t="s">
        <v>3</v>
      </c>
      <c r="F59" s="52" t="s">
        <v>4</v>
      </c>
      <c r="G59" s="15" t="s">
        <v>13</v>
      </c>
      <c r="L59" s="169" t="s">
        <v>42</v>
      </c>
      <c r="Q59" s="170">
        <v>0.11</v>
      </c>
    </row>
    <row r="60" spans="1:20" ht="24.75" customHeight="1" x14ac:dyDescent="0.2">
      <c r="A60" s="4"/>
      <c r="B60" s="270" t="s">
        <v>110</v>
      </c>
      <c r="C60" s="271"/>
      <c r="D60" s="272"/>
      <c r="E60" s="53"/>
      <c r="F60" s="140">
        <f ca="1">Q74</f>
        <v>46084</v>
      </c>
      <c r="G60" s="54">
        <v>300000000</v>
      </c>
      <c r="J60" s="103" t="s">
        <v>107</v>
      </c>
      <c r="K60" s="192">
        <f ca="1">F50</f>
        <v>46084</v>
      </c>
      <c r="L60" s="37" t="s">
        <v>24</v>
      </c>
      <c r="M60" s="38" t="s">
        <v>43</v>
      </c>
      <c r="N60" s="38" t="s">
        <v>44</v>
      </c>
      <c r="O60" s="39" t="s">
        <v>45</v>
      </c>
      <c r="P60" s="38" t="s">
        <v>46</v>
      </c>
      <c r="Q60" s="40" t="s">
        <v>47</v>
      </c>
      <c r="R60" s="38" t="s">
        <v>48</v>
      </c>
      <c r="S60" s="38" t="s">
        <v>49</v>
      </c>
      <c r="T60" s="38" t="s">
        <v>50</v>
      </c>
    </row>
    <row r="61" spans="1:20" ht="24.75" customHeight="1" x14ac:dyDescent="0.2">
      <c r="A61" s="4" t="s">
        <v>25</v>
      </c>
      <c r="B61" s="270" t="s">
        <v>159</v>
      </c>
      <c r="C61" s="271"/>
      <c r="D61" s="272"/>
      <c r="E61" s="55">
        <v>0.1</v>
      </c>
      <c r="F61" s="140">
        <f ca="1">Q75</f>
        <v>46089</v>
      </c>
      <c r="G61" s="54">
        <f>E61*(G31+G32)-G60</f>
        <v>2802519397.6936874</v>
      </c>
      <c r="I61" s="29"/>
      <c r="L61" s="4"/>
      <c r="M61" s="41"/>
      <c r="N61" s="7"/>
      <c r="O61" s="7"/>
      <c r="P61" s="42"/>
      <c r="Q61" s="43"/>
      <c r="R61" s="26"/>
      <c r="S61" s="26"/>
      <c r="T61" s="26"/>
    </row>
    <row r="62" spans="1:20" ht="24.75" customHeight="1" x14ac:dyDescent="0.2">
      <c r="A62" s="109" t="s">
        <v>26</v>
      </c>
      <c r="B62" s="290" t="s">
        <v>101</v>
      </c>
      <c r="C62" s="291"/>
      <c r="D62" s="292"/>
      <c r="E62" s="55">
        <v>0.9</v>
      </c>
      <c r="F62" s="141">
        <f ca="1">IF(WEEKDAY($F$60+25)=1,$F$60+24,$F$60+25)</f>
        <v>46109</v>
      </c>
      <c r="G62" s="54">
        <f>E62*(G31+G32)</f>
        <v>27922674579.243183</v>
      </c>
      <c r="H62" s="56"/>
      <c r="I62" s="29"/>
      <c r="L62" s="4"/>
      <c r="M62" s="41"/>
      <c r="N62" s="7"/>
      <c r="O62" s="7"/>
      <c r="P62" s="44"/>
      <c r="Q62" s="43"/>
      <c r="R62" s="26"/>
      <c r="S62" s="26"/>
      <c r="T62" s="26"/>
    </row>
    <row r="63" spans="1:20" s="9" customFormat="1" ht="24.75" customHeight="1" x14ac:dyDescent="0.2">
      <c r="A63" s="111" t="s">
        <v>27</v>
      </c>
      <c r="B63" s="57" t="s">
        <v>38</v>
      </c>
      <c r="C63" s="273" t="str">
        <f>IF(C6="Hoàn thiện","D+340 ngày","D+280 ngày")</f>
        <v>D+280 ngày</v>
      </c>
      <c r="D63" s="274"/>
      <c r="E63" s="55" t="s">
        <v>32</v>
      </c>
      <c r="F63" s="141">
        <f>Q80</f>
        <v>46075</v>
      </c>
      <c r="G63" s="58">
        <f>G33</f>
        <v>174570821</v>
      </c>
      <c r="H63" s="8"/>
      <c r="I63" s="8"/>
      <c r="K63" s="8"/>
      <c r="L63" s="4"/>
      <c r="M63" s="41"/>
      <c r="N63" s="25"/>
      <c r="O63" s="4"/>
      <c r="P63" s="44"/>
      <c r="Q63" s="43"/>
      <c r="R63" s="45">
        <f>P63-P63*(1/(1+Q63)^O63)</f>
        <v>0</v>
      </c>
      <c r="S63" s="32">
        <f>R63/1.1</f>
        <v>0</v>
      </c>
      <c r="T63" s="45">
        <f>P63-R63</f>
        <v>0</v>
      </c>
    </row>
    <row r="64" spans="1:20" s="9" customFormat="1" ht="32.25" customHeight="1" x14ac:dyDescent="0.2">
      <c r="A64" s="111" t="s">
        <v>28</v>
      </c>
      <c r="B64" s="270" t="s">
        <v>37</v>
      </c>
      <c r="C64" s="271"/>
      <c r="D64" s="272"/>
      <c r="E64" s="55"/>
      <c r="F64" s="141"/>
      <c r="G64" s="54"/>
      <c r="H64" s="8"/>
      <c r="I64" s="8"/>
      <c r="K64" s="8"/>
      <c r="L64" s="4" t="s">
        <v>27</v>
      </c>
      <c r="M64" s="41">
        <v>46075</v>
      </c>
      <c r="N64" s="27">
        <f ca="1">Q76</f>
        <v>46109</v>
      </c>
      <c r="O64" s="4"/>
      <c r="P64" s="44">
        <f>R77</f>
        <v>6205038795.3873749</v>
      </c>
      <c r="Q64" s="43">
        <f>ROUNDDOWN($Q$59/365,7)</f>
        <v>3.0130000000000001E-4</v>
      </c>
      <c r="R64" s="45">
        <f>P64-P64*(1/(1+Q64)^O64)</f>
        <v>0</v>
      </c>
      <c r="S64" s="214">
        <f>R64/1.1</f>
        <v>0</v>
      </c>
      <c r="T64" s="45">
        <f>P64-R64</f>
        <v>6205038795.3873749</v>
      </c>
    </row>
    <row r="65" spans="1:20" s="9" customFormat="1" ht="17.25" customHeight="1" x14ac:dyDescent="0.2">
      <c r="A65" s="285" t="s">
        <v>5</v>
      </c>
      <c r="B65" s="286"/>
      <c r="C65" s="286"/>
      <c r="D65" s="287"/>
      <c r="E65" s="174"/>
      <c r="F65" s="174"/>
      <c r="G65" s="174">
        <f>SUM(G60:G63)</f>
        <v>31199764797.936871</v>
      </c>
      <c r="I65" s="157"/>
      <c r="K65" s="8"/>
      <c r="L65" s="4" t="s">
        <v>28</v>
      </c>
      <c r="M65" s="41">
        <v>46075</v>
      </c>
      <c r="N65" s="27">
        <f ca="1">N64</f>
        <v>46109</v>
      </c>
      <c r="O65" s="4"/>
      <c r="P65" s="44">
        <f>R78</f>
        <v>6205038795.3873749</v>
      </c>
      <c r="Q65" s="43">
        <f>ROUNDDOWN($Q$59/365,7)</f>
        <v>3.0130000000000001E-4</v>
      </c>
      <c r="R65" s="45">
        <f>P65-P65*(1/(1+Q65)^O65)</f>
        <v>0</v>
      </c>
      <c r="S65" s="214">
        <f>R65/1.1</f>
        <v>0</v>
      </c>
      <c r="T65" s="45">
        <f>P65-R65</f>
        <v>6205038795.3873749</v>
      </c>
    </row>
    <row r="66" spans="1:20" s="9" customFormat="1" ht="17.25" customHeight="1" x14ac:dyDescent="0.2">
      <c r="A66" s="176"/>
      <c r="B66" s="177"/>
      <c r="C66" s="177"/>
      <c r="D66" s="177"/>
      <c r="E66" s="177"/>
      <c r="F66" s="177"/>
      <c r="G66" s="177"/>
      <c r="H66" s="185"/>
      <c r="I66" s="186"/>
      <c r="K66" s="8"/>
      <c r="L66" s="4" t="s">
        <v>29</v>
      </c>
      <c r="M66" s="41">
        <v>46075</v>
      </c>
      <c r="N66" s="27">
        <f t="shared" ref="N66:N67" ca="1" si="0">N65</f>
        <v>46109</v>
      </c>
      <c r="O66" s="4"/>
      <c r="P66" s="44">
        <f>R79</f>
        <v>3102519397.6936874</v>
      </c>
      <c r="Q66" s="43">
        <f>ROUNDDOWN($Q$59/365,7)</f>
        <v>3.0130000000000001E-4</v>
      </c>
      <c r="R66" s="45">
        <f>P66-P66*(1/(1+Q66)^O66)</f>
        <v>0</v>
      </c>
      <c r="S66" s="214">
        <f>R66/1.1</f>
        <v>0</v>
      </c>
      <c r="T66" s="45">
        <f>P66-R66</f>
        <v>3102519397.6936874</v>
      </c>
    </row>
    <row r="67" spans="1:20" s="9" customFormat="1" ht="75.75" customHeight="1" x14ac:dyDescent="0.2">
      <c r="A67" s="298" t="s">
        <v>33</v>
      </c>
      <c r="B67" s="299"/>
      <c r="C67" s="299"/>
      <c r="D67" s="299"/>
      <c r="E67" s="299"/>
      <c r="F67" s="299"/>
      <c r="G67" s="299"/>
      <c r="H67" s="8"/>
      <c r="I67" s="8"/>
      <c r="K67" s="8"/>
      <c r="L67" s="4" t="s">
        <v>30</v>
      </c>
      <c r="M67" s="41">
        <v>46075</v>
      </c>
      <c r="N67" s="27">
        <f t="shared" ca="1" si="0"/>
        <v>46109</v>
      </c>
      <c r="O67" s="4"/>
      <c r="P67" s="44">
        <f>R80-G27</f>
        <v>7756298494.2342176</v>
      </c>
      <c r="Q67" s="43">
        <f>ROUNDDOWN($Q$59/365,7)</f>
        <v>3.0130000000000001E-4</v>
      </c>
      <c r="R67" s="45">
        <f>P67-P67*(1/(1+Q67)^O67)</f>
        <v>0</v>
      </c>
      <c r="S67" s="214">
        <f>R67/1.1</f>
        <v>0</v>
      </c>
      <c r="T67" s="45">
        <f>P67-R67</f>
        <v>7756298494.2342176</v>
      </c>
    </row>
    <row r="68" spans="1:20" s="9" customFormat="1" ht="51" customHeight="1" x14ac:dyDescent="0.2">
      <c r="A68" s="300" t="s">
        <v>74</v>
      </c>
      <c r="B68" s="300"/>
      <c r="C68" s="300"/>
      <c r="D68" s="300"/>
      <c r="E68" s="300"/>
      <c r="F68" s="300"/>
      <c r="G68" s="300"/>
      <c r="H68" s="8"/>
      <c r="I68" s="8"/>
      <c r="K68" s="8"/>
      <c r="L68" s="18"/>
      <c r="M68" s="19"/>
      <c r="N68" s="19"/>
      <c r="O68" s="19"/>
      <c r="P68" s="50">
        <f>SUM(P62:P67)</f>
        <v>23268895482.702656</v>
      </c>
      <c r="Q68" s="19"/>
      <c r="R68" s="50">
        <f>SUM(R61:R67)</f>
        <v>0</v>
      </c>
      <c r="S68" s="51">
        <f>SUM(S61:S67)</f>
        <v>0</v>
      </c>
      <c r="T68" s="50">
        <f>SUM(T63:T67)</f>
        <v>23268895482.702656</v>
      </c>
    </row>
    <row r="69" spans="1:20" ht="17.25" customHeight="1" x14ac:dyDescent="0.2">
      <c r="B69" s="187" t="s">
        <v>7</v>
      </c>
      <c r="C69" s="154"/>
      <c r="D69" s="296" t="s">
        <v>35</v>
      </c>
      <c r="E69" s="296"/>
      <c r="F69" s="296" t="s">
        <v>8</v>
      </c>
      <c r="G69" s="296"/>
    </row>
    <row r="70" spans="1:20" ht="17.25" customHeight="1" x14ac:dyDescent="0.2">
      <c r="B70" s="77" t="s">
        <v>9</v>
      </c>
      <c r="D70" s="297" t="s">
        <v>9</v>
      </c>
      <c r="E70" s="297"/>
      <c r="F70" s="297" t="s">
        <v>9</v>
      </c>
      <c r="G70" s="297"/>
    </row>
    <row r="71" spans="1:20" s="9" customFormat="1" ht="17.25" customHeight="1" x14ac:dyDescent="0.2">
      <c r="A71" s="77"/>
      <c r="B71" s="8"/>
      <c r="C71" s="8"/>
      <c r="D71" s="8"/>
      <c r="E71" s="8"/>
      <c r="F71" s="8"/>
      <c r="G71" s="8"/>
      <c r="H71" s="8"/>
      <c r="I71" s="8"/>
      <c r="K71" s="8"/>
      <c r="L71" s="162" t="s">
        <v>21</v>
      </c>
      <c r="M71" s="163" t="s">
        <v>22</v>
      </c>
      <c r="N71" s="164"/>
      <c r="O71" s="164"/>
      <c r="P71" s="164"/>
      <c r="Q71" s="164"/>
      <c r="R71" s="164"/>
      <c r="S71" s="184"/>
      <c r="T71" s="184"/>
    </row>
    <row r="72" spans="1:20" x14ac:dyDescent="0.2">
      <c r="L72" s="165">
        <v>1</v>
      </c>
      <c r="M72" s="166" t="s">
        <v>23</v>
      </c>
      <c r="N72" s="167"/>
      <c r="O72" s="167"/>
      <c r="P72" s="168"/>
      <c r="Q72" s="168"/>
      <c r="R72" s="168"/>
    </row>
    <row r="73" spans="1:20" ht="34" x14ac:dyDescent="0.2">
      <c r="A73" s="8"/>
      <c r="L73" s="15" t="s">
        <v>24</v>
      </c>
      <c r="M73" s="16" t="s">
        <v>22</v>
      </c>
      <c r="N73" s="35"/>
      <c r="O73" s="36"/>
      <c r="P73" s="15" t="s">
        <v>3</v>
      </c>
      <c r="Q73" s="15" t="s">
        <v>4</v>
      </c>
      <c r="R73" s="15" t="s">
        <v>13</v>
      </c>
    </row>
    <row r="74" spans="1:20" x14ac:dyDescent="0.2">
      <c r="A74" s="8"/>
      <c r="L74" s="4"/>
      <c r="M74" s="270" t="s">
        <v>110</v>
      </c>
      <c r="N74" s="271"/>
      <c r="O74" s="272"/>
      <c r="P74" s="171"/>
      <c r="Q74" s="47">
        <f ca="1">TODAY()</f>
        <v>46084</v>
      </c>
      <c r="R74" s="53">
        <v>300000000</v>
      </c>
    </row>
    <row r="75" spans="1:20" ht="17.25" customHeight="1" x14ac:dyDescent="0.2">
      <c r="A75" s="8"/>
      <c r="L75" s="17" t="s">
        <v>25</v>
      </c>
      <c r="M75" s="270" t="s">
        <v>159</v>
      </c>
      <c r="N75" s="271"/>
      <c r="O75" s="272"/>
      <c r="P75" s="55">
        <v>0.1</v>
      </c>
      <c r="Q75" s="47">
        <f ca="1">Q74+5</f>
        <v>46089</v>
      </c>
      <c r="R75" s="48">
        <f>P75*G26-R74</f>
        <v>2802519397.6936874</v>
      </c>
    </row>
    <row r="76" spans="1:20" ht="17.25" customHeight="1" x14ac:dyDescent="0.2">
      <c r="A76" s="8"/>
      <c r="L76" s="109" t="s">
        <v>26</v>
      </c>
      <c r="M76" s="290" t="s">
        <v>101</v>
      </c>
      <c r="N76" s="291"/>
      <c r="O76" s="292"/>
      <c r="P76" s="55">
        <v>0.15</v>
      </c>
      <c r="Q76" s="47">
        <f ca="1">IF(WEEKDAY($Q$74+25)=1,$Q$74+26,$Q$74+25)</f>
        <v>46109</v>
      </c>
      <c r="R76" s="48">
        <f>P76*G26</f>
        <v>4653779096.5405302</v>
      </c>
    </row>
    <row r="77" spans="1:20" x14ac:dyDescent="0.2">
      <c r="A77" s="8"/>
      <c r="L77" s="4" t="s">
        <v>27</v>
      </c>
      <c r="M77" s="270" t="s">
        <v>104</v>
      </c>
      <c r="N77" s="271"/>
      <c r="O77" s="272"/>
      <c r="P77" s="55">
        <v>0.2</v>
      </c>
      <c r="Q77" s="47">
        <f ca="1">IF(WEEKDAY($Q$74+70)=1,$Q$74+71,$Q$74+70)</f>
        <v>46154</v>
      </c>
      <c r="R77" s="48">
        <f>P77*G26</f>
        <v>6205038795.3873749</v>
      </c>
    </row>
    <row r="78" spans="1:20" x14ac:dyDescent="0.2">
      <c r="A78" s="8"/>
      <c r="L78" s="4" t="s">
        <v>28</v>
      </c>
      <c r="M78" s="270" t="s">
        <v>200</v>
      </c>
      <c r="N78" s="271"/>
      <c r="O78" s="272"/>
      <c r="P78" s="55">
        <v>0.2</v>
      </c>
      <c r="Q78" s="47">
        <f ca="1">IF(WEEKDAY($Q$74+130)=1,$Q$74+131,$Q$74+100)</f>
        <v>46184</v>
      </c>
      <c r="R78" s="48">
        <f>P78*G26</f>
        <v>6205038795.3873749</v>
      </c>
    </row>
    <row r="79" spans="1:20" x14ac:dyDescent="0.2">
      <c r="A79" s="8"/>
      <c r="L79" s="4" t="s">
        <v>29</v>
      </c>
      <c r="M79" s="270" t="s">
        <v>105</v>
      </c>
      <c r="N79" s="271"/>
      <c r="O79" s="272"/>
      <c r="P79" s="55">
        <v>0.1</v>
      </c>
      <c r="Q79" s="47">
        <f ca="1">IF(WEEKDAY($Q$74+190)=1,$Q$74+191,$Q$74+130)</f>
        <v>46214</v>
      </c>
      <c r="R79" s="48">
        <f>P79*G26</f>
        <v>3102519397.6936874</v>
      </c>
    </row>
    <row r="80" spans="1:20" ht="17" x14ac:dyDescent="0.2">
      <c r="L80" s="4" t="s">
        <v>30</v>
      </c>
      <c r="M80" s="8" t="s">
        <v>38</v>
      </c>
      <c r="N80" s="273" t="str">
        <f>IF(C6="Hoàn thiện","D+340 ngày","D+280 ngày")</f>
        <v>D+280 ngày</v>
      </c>
      <c r="O80" s="274"/>
      <c r="P80" s="46" t="s">
        <v>102</v>
      </c>
      <c r="Q80" s="47">
        <f>VLOOKUP(C4:C4,Sheet1!A:J,10,0)</f>
        <v>46075</v>
      </c>
      <c r="R80" s="48">
        <f>25%*G26+G27</f>
        <v>7930869315.2342176</v>
      </c>
    </row>
    <row r="81" spans="12:18" x14ac:dyDescent="0.2">
      <c r="L81" s="4" t="s">
        <v>31</v>
      </c>
      <c r="M81" s="270" t="s">
        <v>37</v>
      </c>
      <c r="N81" s="271"/>
      <c r="O81" s="272"/>
      <c r="P81" s="172"/>
      <c r="Q81" s="47"/>
      <c r="R81" s="53"/>
    </row>
    <row r="82" spans="12:18" x14ac:dyDescent="0.2">
      <c r="L82" s="285" t="s">
        <v>5</v>
      </c>
      <c r="M82" s="286"/>
      <c r="N82" s="286"/>
      <c r="O82" s="287"/>
      <c r="P82" s="173">
        <v>1</v>
      </c>
      <c r="Q82" s="174"/>
      <c r="R82" s="174">
        <f>SUM(R74:R80)</f>
        <v>31199764797.936874</v>
      </c>
    </row>
  </sheetData>
  <protectedRanges>
    <protectedRange sqref="E27:F27 E24:F24 E17:F22 E12:F16" name="Range1"/>
    <protectedRange sqref="E9:E11" name="Range1_1_1_1_1"/>
    <protectedRange sqref="E23:G23 E7:G7" name="Range1_1_1_1"/>
    <protectedRange sqref="C4:C5" name="Range1_1_1_2"/>
    <protectedRange sqref="G24" name="Range1_1"/>
  </protectedRanges>
  <mergeCells count="57">
    <mergeCell ref="F69:G69"/>
    <mergeCell ref="D70:E70"/>
    <mergeCell ref="F70:G70"/>
    <mergeCell ref="B62:D62"/>
    <mergeCell ref="C63:D63"/>
    <mergeCell ref="B64:D64"/>
    <mergeCell ref="A65:D65"/>
    <mergeCell ref="A67:G67"/>
    <mergeCell ref="A68:G68"/>
    <mergeCell ref="L82:O82"/>
    <mergeCell ref="B50:D50"/>
    <mergeCell ref="B51:D51"/>
    <mergeCell ref="A52:A53"/>
    <mergeCell ref="B52:D52"/>
    <mergeCell ref="B53:D53"/>
    <mergeCell ref="C54:D54"/>
    <mergeCell ref="B55:D55"/>
    <mergeCell ref="A56:D56"/>
    <mergeCell ref="B59:D59"/>
    <mergeCell ref="B60:D60"/>
    <mergeCell ref="M81:O81"/>
    <mergeCell ref="M75:O75"/>
    <mergeCell ref="M76:O76"/>
    <mergeCell ref="M77:O77"/>
    <mergeCell ref="D69:E69"/>
    <mergeCell ref="M78:O78"/>
    <mergeCell ref="M79:O79"/>
    <mergeCell ref="N80:O80"/>
    <mergeCell ref="B30:F30"/>
    <mergeCell ref="B16:F16"/>
    <mergeCell ref="B25:F25"/>
    <mergeCell ref="B26:F26"/>
    <mergeCell ref="B27:F27"/>
    <mergeCell ref="B28:F28"/>
    <mergeCell ref="B29:F29"/>
    <mergeCell ref="B31:F31"/>
    <mergeCell ref="B32:F32"/>
    <mergeCell ref="B33:F33"/>
    <mergeCell ref="A34:G34"/>
    <mergeCell ref="M74:O74"/>
    <mergeCell ref="B61:D61"/>
    <mergeCell ref="A17:A18"/>
    <mergeCell ref="B17:F17"/>
    <mergeCell ref="B18:F18"/>
    <mergeCell ref="B24:F24"/>
    <mergeCell ref="B15:F15"/>
    <mergeCell ref="A1:G1"/>
    <mergeCell ref="A2:G2"/>
    <mergeCell ref="B7:F7"/>
    <mergeCell ref="B8:F8"/>
    <mergeCell ref="B9:F9"/>
    <mergeCell ref="B10:F10"/>
    <mergeCell ref="B11:F11"/>
    <mergeCell ref="A12:A14"/>
    <mergeCell ref="B12:F12"/>
    <mergeCell ref="B13:F13"/>
    <mergeCell ref="B14:F14"/>
  </mergeCells>
  <dataValidations count="5">
    <dataValidation type="list" allowBlank="1" showInputMessage="1" showErrorMessage="1" sqref="C6" xr:uid="{C862325D-C05F-4656-9A39-39C9390826AD}">
      <formula1>"Hoàn thiện,Thô xây luôn"</formula1>
    </dataValidation>
    <dataValidation type="list" allowBlank="1" showInputMessage="1" showErrorMessage="1" sqref="G12" xr:uid="{1C20AD66-3025-449F-B252-F379D6D2B5A5}">
      <mc:AlternateContent xmlns:x12ac="http://schemas.microsoft.com/office/spreadsheetml/2011/1/ac" xmlns:mc="http://schemas.openxmlformats.org/markup-compatibility/2006">
        <mc:Choice Requires="x12ac">
          <x12ac:list>0,"3,5%"</x12ac:list>
        </mc:Choice>
        <mc:Fallback>
          <formula1>"0,3,5%"</formula1>
        </mc:Fallback>
      </mc:AlternateContent>
    </dataValidation>
    <dataValidation type="list" allowBlank="1" showInputMessage="1" showErrorMessage="1" sqref="G14" xr:uid="{B6CE5097-E725-4EB0-AED2-4269091940FB}">
      <mc:AlternateContent xmlns:x12ac="http://schemas.microsoft.com/office/spreadsheetml/2011/1/ac" xmlns:mc="http://schemas.openxmlformats.org/markup-compatibility/2006">
        <mc:Choice Requires="x12ac">
          <x12ac:list>0,"10,5%"</x12ac:list>
        </mc:Choice>
        <mc:Fallback>
          <formula1>"0,10,5%"</formula1>
        </mc:Fallback>
      </mc:AlternateContent>
    </dataValidation>
    <dataValidation type="list" allowBlank="1" showInputMessage="1" showErrorMessage="1" sqref="G15" xr:uid="{F1E3971F-CE58-44F3-95D0-415E62C49D26}">
      <mc:AlternateContent xmlns:x12ac="http://schemas.microsoft.com/office/spreadsheetml/2011/1/ac" xmlns:mc="http://schemas.openxmlformats.org/markup-compatibility/2006">
        <mc:Choice Requires="x12ac">
          <x12ac:list>0,"0,5%"</x12ac:list>
        </mc:Choice>
        <mc:Fallback>
          <formula1>"0,0,5%"</formula1>
        </mc:Fallback>
      </mc:AlternateContent>
    </dataValidation>
    <dataValidation type="list" allowBlank="1" showInputMessage="1" showErrorMessage="1" sqref="G16" xr:uid="{E60B9C14-768D-471E-8F65-1E225C6EB068}">
      <formula1>"0,0.15%,0.2%,0.25%"</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86"/>
  <sheetViews>
    <sheetView topLeftCell="A12" zoomScale="85" zoomScaleNormal="85" workbookViewId="0">
      <selection sqref="A1:H81"/>
    </sheetView>
  </sheetViews>
  <sheetFormatPr baseColWidth="10" defaultColWidth="9.33203125" defaultRowHeight="16" x14ac:dyDescent="0.2"/>
  <cols>
    <col min="1" max="1" width="7.6640625" style="77" customWidth="1"/>
    <col min="2" max="2" width="50.6640625" style="8" customWidth="1"/>
    <col min="3" max="3" width="8.33203125" style="8" customWidth="1"/>
    <col min="4" max="4" width="10.83203125" style="8" customWidth="1"/>
    <col min="5" max="5" width="15.33203125" style="8" customWidth="1"/>
    <col min="6" max="6" width="17.6640625" style="8" customWidth="1"/>
    <col min="7" max="7" width="21.5" style="8" customWidth="1"/>
    <col min="8" max="8" width="18.6640625" style="8" customWidth="1"/>
    <col min="9" max="9" width="19.6640625" style="8" customWidth="1"/>
    <col min="10" max="10" width="19.33203125" style="9" customWidth="1"/>
    <col min="11" max="11" width="11.6640625" style="8" customWidth="1"/>
    <col min="12" max="12" width="18" style="8" customWidth="1"/>
    <col min="13" max="13" width="18.5" style="8" customWidth="1"/>
    <col min="14" max="14" width="11" style="8" customWidth="1"/>
    <col min="15" max="15" width="22.33203125" style="8" customWidth="1"/>
    <col min="16" max="16" width="13.5" style="8" customWidth="1"/>
    <col min="17" max="17" width="15.6640625" style="8" customWidth="1"/>
    <col min="18" max="18" width="19.33203125" style="10" customWidth="1"/>
    <col min="19" max="19" width="19.6640625" style="10" customWidth="1"/>
    <col min="20" max="20" width="19.33203125" style="10" customWidth="1"/>
    <col min="21" max="16384" width="9.33203125" style="8"/>
  </cols>
  <sheetData>
    <row r="1" spans="1:20" ht="93.75" customHeight="1" x14ac:dyDescent="0.2">
      <c r="A1" s="245" t="s">
        <v>125</v>
      </c>
      <c r="B1" s="245"/>
      <c r="C1" s="245"/>
      <c r="D1" s="245"/>
      <c r="E1" s="245"/>
      <c r="F1" s="245"/>
      <c r="G1" s="245"/>
    </row>
    <row r="2" spans="1:20" ht="20.25" customHeight="1" x14ac:dyDescent="0.2">
      <c r="A2" s="246" t="s">
        <v>165</v>
      </c>
      <c r="B2" s="246"/>
      <c r="C2" s="246"/>
      <c r="D2" s="246"/>
      <c r="E2" s="246"/>
      <c r="F2" s="246"/>
      <c r="G2" s="246"/>
    </row>
    <row r="3" spans="1:20" ht="17.25" customHeight="1" x14ac:dyDescent="0.2">
      <c r="B3" s="302" t="s">
        <v>10</v>
      </c>
      <c r="C3" s="303"/>
      <c r="D3" s="303"/>
      <c r="E3" s="78"/>
      <c r="F3" s="78"/>
      <c r="G3" s="78"/>
      <c r="J3" s="8"/>
    </row>
    <row r="4" spans="1:20" ht="21.75" customHeight="1" x14ac:dyDescent="0.2">
      <c r="B4" s="7" t="s">
        <v>11</v>
      </c>
      <c r="C4" s="304" t="s">
        <v>183</v>
      </c>
      <c r="D4" s="304"/>
      <c r="E4" s="78"/>
      <c r="F4" s="78"/>
      <c r="G4" s="78"/>
    </row>
    <row r="5" spans="1:20" ht="21.75" customHeight="1" x14ac:dyDescent="0.2">
      <c r="B5" s="7" t="s">
        <v>156</v>
      </c>
      <c r="C5" s="305">
        <f>VLOOKUP(C4,Sheet1!A:E,5,0)</f>
        <v>41244269382</v>
      </c>
      <c r="D5" s="305"/>
      <c r="E5" s="78"/>
      <c r="F5" s="79"/>
      <c r="G5" s="79"/>
      <c r="J5" s="71"/>
      <c r="K5" s="72"/>
      <c r="L5" s="72"/>
      <c r="M5" s="72"/>
      <c r="N5" s="72"/>
      <c r="O5" s="72"/>
      <c r="P5" s="72"/>
    </row>
    <row r="6" spans="1:20" ht="21.75" customHeight="1" x14ac:dyDescent="0.2">
      <c r="B6" s="12" t="s">
        <v>36</v>
      </c>
      <c r="C6" s="306" t="s">
        <v>59</v>
      </c>
      <c r="D6" s="306"/>
      <c r="E6" s="60"/>
      <c r="F6" s="60"/>
      <c r="G6" s="78"/>
      <c r="J6" s="71"/>
      <c r="K6" s="72"/>
      <c r="L6" s="72"/>
      <c r="M6" s="72"/>
      <c r="N6" s="72"/>
      <c r="O6" s="72"/>
      <c r="P6" s="72"/>
    </row>
    <row r="7" spans="1:20" ht="17.25" customHeight="1" x14ac:dyDescent="0.2">
      <c r="A7" s="80" t="s">
        <v>12</v>
      </c>
      <c r="B7" s="247" t="s">
        <v>60</v>
      </c>
      <c r="C7" s="248"/>
      <c r="D7" s="248"/>
      <c r="E7" s="248"/>
      <c r="F7" s="249"/>
      <c r="G7" s="80" t="s">
        <v>13</v>
      </c>
      <c r="J7" s="71" t="s">
        <v>14</v>
      </c>
      <c r="K7" s="72"/>
      <c r="L7" s="72"/>
      <c r="M7" s="72"/>
      <c r="N7" s="72"/>
      <c r="O7" s="72"/>
      <c r="P7" s="72"/>
    </row>
    <row r="8" spans="1:20" ht="17.25" customHeight="1" x14ac:dyDescent="0.2">
      <c r="A8" s="4">
        <v>1</v>
      </c>
      <c r="B8" s="250" t="s">
        <v>76</v>
      </c>
      <c r="C8" s="251"/>
      <c r="D8" s="251"/>
      <c r="E8" s="251"/>
      <c r="F8" s="252"/>
      <c r="G8" s="81">
        <f>VLOOKUP(C4,Sheet1!A:I,9,0)</f>
        <v>178799757.11132437</v>
      </c>
      <c r="J8" s="71"/>
      <c r="K8" s="72"/>
      <c r="L8" s="72"/>
      <c r="M8" s="72"/>
      <c r="N8" s="72"/>
      <c r="O8" s="72"/>
      <c r="P8" s="72"/>
    </row>
    <row r="9" spans="1:20" ht="17.25" customHeight="1" x14ac:dyDescent="0.2">
      <c r="A9" s="4">
        <v>3</v>
      </c>
      <c r="B9" s="253" t="s">
        <v>15</v>
      </c>
      <c r="C9" s="254"/>
      <c r="D9" s="254"/>
      <c r="E9" s="254"/>
      <c r="F9" s="255"/>
      <c r="G9" s="82">
        <f>VLOOKUP(C4,Sheet1!A:F,6,0)</f>
        <v>208.4</v>
      </c>
      <c r="J9" s="72"/>
      <c r="K9" s="72"/>
      <c r="L9" s="72"/>
      <c r="M9" s="72"/>
      <c r="N9" s="72"/>
      <c r="O9" s="72"/>
      <c r="P9" s="72"/>
    </row>
    <row r="10" spans="1:20" ht="17.25" customHeight="1" x14ac:dyDescent="0.2">
      <c r="A10" s="17">
        <v>4</v>
      </c>
      <c r="B10" s="253" t="s">
        <v>75</v>
      </c>
      <c r="C10" s="254"/>
      <c r="D10" s="254"/>
      <c r="E10" s="254"/>
      <c r="F10" s="255"/>
      <c r="G10" s="83">
        <v>40035060</v>
      </c>
      <c r="J10" s="72"/>
      <c r="K10" s="72"/>
      <c r="L10" s="72"/>
      <c r="M10" s="72"/>
      <c r="N10" s="72"/>
      <c r="O10" s="72"/>
      <c r="P10" s="72"/>
    </row>
    <row r="11" spans="1:20" s="86" customFormat="1" ht="16.5" customHeight="1" x14ac:dyDescent="0.2">
      <c r="A11" s="307" t="s">
        <v>70</v>
      </c>
      <c r="B11" s="242" t="s">
        <v>51</v>
      </c>
      <c r="C11" s="243"/>
      <c r="D11" s="243"/>
      <c r="E11" s="243"/>
      <c r="F11" s="244"/>
      <c r="G11" s="84">
        <v>0</v>
      </c>
      <c r="H11" s="85"/>
      <c r="L11" s="87"/>
      <c r="R11" s="88"/>
      <c r="S11" s="88"/>
      <c r="T11" s="88"/>
    </row>
    <row r="12" spans="1:20" s="86" customFormat="1" ht="17.25" customHeight="1" x14ac:dyDescent="0.2">
      <c r="A12" s="308"/>
      <c r="B12" s="242" t="s">
        <v>53</v>
      </c>
      <c r="C12" s="243"/>
      <c r="D12" s="243"/>
      <c r="E12" s="243"/>
      <c r="F12" s="244"/>
      <c r="G12" s="224">
        <v>0</v>
      </c>
      <c r="H12" s="225"/>
      <c r="L12" s="87"/>
      <c r="R12" s="88"/>
      <c r="S12" s="88"/>
      <c r="T12" s="88"/>
    </row>
    <row r="13" spans="1:20" s="86" customFormat="1" ht="17.25" customHeight="1" x14ac:dyDescent="0.2">
      <c r="A13" s="309"/>
      <c r="B13" s="310" t="s">
        <v>121</v>
      </c>
      <c r="C13" s="311"/>
      <c r="D13" s="311"/>
      <c r="E13" s="311"/>
      <c r="F13" s="312"/>
      <c r="G13" s="84">
        <v>0.105</v>
      </c>
      <c r="H13" s="85"/>
      <c r="J13" s="89"/>
      <c r="M13" s="90"/>
      <c r="R13" s="88"/>
      <c r="S13" s="88"/>
      <c r="T13" s="88"/>
    </row>
    <row r="14" spans="1:20" s="86" customFormat="1" ht="17.25" customHeight="1" x14ac:dyDescent="0.2">
      <c r="A14" s="91" t="s">
        <v>71</v>
      </c>
      <c r="B14" s="242" t="s">
        <v>52</v>
      </c>
      <c r="C14" s="243"/>
      <c r="D14" s="243"/>
      <c r="E14" s="243"/>
      <c r="F14" s="244"/>
      <c r="G14" s="226">
        <v>1.2E-2</v>
      </c>
      <c r="H14" s="85"/>
      <c r="J14" s="89"/>
      <c r="M14" s="90"/>
      <c r="R14" s="88"/>
      <c r="S14" s="88"/>
      <c r="T14" s="88"/>
    </row>
    <row r="15" spans="1:20" s="86" customFormat="1" ht="17.25" customHeight="1" x14ac:dyDescent="0.2">
      <c r="A15" s="91" t="s">
        <v>71</v>
      </c>
      <c r="B15" s="242" t="s">
        <v>54</v>
      </c>
      <c r="C15" s="243"/>
      <c r="D15" s="243"/>
      <c r="E15" s="243"/>
      <c r="F15" s="244"/>
      <c r="G15" s="226">
        <v>1.5E-3</v>
      </c>
      <c r="H15" s="85"/>
      <c r="J15" s="89"/>
      <c r="M15" s="87"/>
      <c r="R15" s="88"/>
      <c r="S15" s="88"/>
      <c r="T15" s="88"/>
    </row>
    <row r="16" spans="1:20" s="23" customFormat="1" ht="17.25" customHeight="1" x14ac:dyDescent="0.2">
      <c r="A16" s="3" t="s">
        <v>72</v>
      </c>
      <c r="B16" s="92" t="s">
        <v>57</v>
      </c>
      <c r="C16" s="93"/>
      <c r="D16" s="93"/>
      <c r="E16" s="93"/>
      <c r="F16" s="94"/>
      <c r="G16" s="95">
        <v>700000000</v>
      </c>
      <c r="H16" s="96"/>
      <c r="J16" s="67"/>
      <c r="M16" s="68"/>
      <c r="R16" s="69"/>
      <c r="S16" s="69"/>
      <c r="T16" s="69"/>
    </row>
    <row r="17" spans="1:20" s="23" customFormat="1" ht="17.25" customHeight="1" x14ac:dyDescent="0.2">
      <c r="A17" s="97">
        <v>6</v>
      </c>
      <c r="B17" s="98" t="s">
        <v>0</v>
      </c>
      <c r="C17" s="93"/>
      <c r="D17" s="93"/>
      <c r="E17" s="93"/>
      <c r="F17" s="94"/>
      <c r="G17" s="99">
        <f>(G8-G16/G26)*(1-G11)*(1-G13)*(1-G14)*(1-G15)</f>
        <v>156626745.05159277</v>
      </c>
      <c r="H17" s="100"/>
      <c r="J17" s="67"/>
      <c r="M17" s="68"/>
      <c r="R17" s="69"/>
      <c r="S17" s="69"/>
      <c r="T17" s="69"/>
    </row>
    <row r="18" spans="1:20" s="23" customFormat="1" ht="17.25" customHeight="1" x14ac:dyDescent="0.2">
      <c r="A18" s="103">
        <v>8</v>
      </c>
      <c r="B18" s="301" t="s">
        <v>61</v>
      </c>
      <c r="C18" s="301"/>
      <c r="D18" s="301"/>
      <c r="E18" s="301"/>
      <c r="F18" s="301"/>
      <c r="G18" s="104">
        <f>+G19+G20</f>
        <v>35070784385.227127</v>
      </c>
      <c r="H18" s="102"/>
      <c r="J18" s="67"/>
      <c r="M18" s="68"/>
      <c r="R18" s="69"/>
      <c r="S18" s="69"/>
      <c r="T18" s="69"/>
    </row>
    <row r="19" spans="1:20" s="23" customFormat="1" ht="17.25" customHeight="1" x14ac:dyDescent="0.2">
      <c r="A19" s="101">
        <v>9</v>
      </c>
      <c r="B19" s="325" t="s">
        <v>62</v>
      </c>
      <c r="C19" s="325"/>
      <c r="D19" s="325"/>
      <c r="E19" s="325"/>
      <c r="F19" s="325"/>
      <c r="G19" s="105">
        <f>G17*G9</f>
        <v>32641013668.751934</v>
      </c>
      <c r="H19" s="102"/>
      <c r="J19" s="67"/>
      <c r="M19" s="68"/>
      <c r="R19" s="69"/>
      <c r="S19" s="69"/>
      <c r="T19" s="69"/>
    </row>
    <row r="20" spans="1:20" s="23" customFormat="1" ht="17.25" customHeight="1" x14ac:dyDescent="0.2">
      <c r="A20" s="101">
        <v>10</v>
      </c>
      <c r="B20" s="325" t="s">
        <v>20</v>
      </c>
      <c r="C20" s="325"/>
      <c r="D20" s="325"/>
      <c r="E20" s="325"/>
      <c r="F20" s="325"/>
      <c r="G20" s="105">
        <f>(G19-G10*G9)*10%</f>
        <v>2429770716.4751935</v>
      </c>
      <c r="H20" s="102"/>
      <c r="J20" s="67"/>
      <c r="M20" s="68"/>
      <c r="R20" s="69"/>
      <c r="S20" s="69"/>
      <c r="T20" s="69"/>
    </row>
    <row r="21" spans="1:20" s="86" customFormat="1" ht="17.25" customHeight="1" x14ac:dyDescent="0.2">
      <c r="A21" s="352">
        <v>11</v>
      </c>
      <c r="B21" s="327" t="s">
        <v>120</v>
      </c>
      <c r="C21" s="328"/>
      <c r="D21" s="328"/>
      <c r="E21" s="328"/>
      <c r="F21" s="329"/>
      <c r="G21" s="193">
        <f ca="1">R45</f>
        <v>893751434.82661283</v>
      </c>
      <c r="H21" s="102"/>
      <c r="J21" s="89"/>
      <c r="M21" s="87"/>
      <c r="R21" s="88"/>
      <c r="S21" s="88"/>
      <c r="T21" s="88"/>
    </row>
    <row r="22" spans="1:20" s="86" customFormat="1" ht="17.25" customHeight="1" x14ac:dyDescent="0.2">
      <c r="A22" s="353"/>
      <c r="B22" s="330" t="s">
        <v>77</v>
      </c>
      <c r="C22" s="331"/>
      <c r="D22" s="331"/>
      <c r="E22" s="331"/>
      <c r="F22" s="331"/>
      <c r="G22" s="106">
        <f ca="1">+G23+G24</f>
        <v>34087657806.91785</v>
      </c>
      <c r="H22" s="102"/>
      <c r="J22" s="89"/>
      <c r="M22" s="87"/>
      <c r="R22" s="88"/>
      <c r="S22" s="88"/>
      <c r="T22" s="88"/>
    </row>
    <row r="23" spans="1:20" s="86" customFormat="1" ht="17.25" customHeight="1" x14ac:dyDescent="0.2">
      <c r="A23" s="353"/>
      <c r="B23" s="326" t="s">
        <v>78</v>
      </c>
      <c r="C23" s="326"/>
      <c r="D23" s="326"/>
      <c r="E23" s="326"/>
      <c r="F23" s="326"/>
      <c r="G23" s="107">
        <f ca="1">((G19/G9)-(G21/G9))*G9</f>
        <v>31747262233.92532</v>
      </c>
      <c r="H23" s="102"/>
      <c r="J23" s="89"/>
      <c r="M23" s="87"/>
      <c r="R23" s="88"/>
      <c r="S23" s="88"/>
      <c r="T23" s="88"/>
    </row>
    <row r="24" spans="1:20" s="86" customFormat="1" ht="17.25" customHeight="1" x14ac:dyDescent="0.2">
      <c r="A24" s="353"/>
      <c r="B24" s="354" t="s">
        <v>20</v>
      </c>
      <c r="C24" s="355"/>
      <c r="D24" s="355"/>
      <c r="E24" s="355"/>
      <c r="F24" s="356"/>
      <c r="G24" s="107">
        <f ca="1">(G23-G10*G9)*10%</f>
        <v>2340395572.9925323</v>
      </c>
      <c r="H24" s="102"/>
      <c r="J24" s="89"/>
      <c r="M24" s="87"/>
      <c r="R24" s="88"/>
      <c r="S24" s="88"/>
      <c r="T24" s="88"/>
    </row>
    <row r="25" spans="1:20" s="23" customFormat="1" ht="17.25" customHeight="1" x14ac:dyDescent="0.2">
      <c r="A25" s="80" t="s">
        <v>18</v>
      </c>
      <c r="B25" s="332" t="s">
        <v>67</v>
      </c>
      <c r="C25" s="333"/>
      <c r="D25" s="333"/>
      <c r="E25" s="333"/>
      <c r="F25" s="334"/>
      <c r="G25" s="80" t="s">
        <v>13</v>
      </c>
      <c r="H25" s="102"/>
      <c r="J25" s="67"/>
      <c r="M25" s="68"/>
      <c r="R25" s="69"/>
      <c r="S25" s="69"/>
      <c r="T25" s="69"/>
    </row>
    <row r="26" spans="1:20" s="23" customFormat="1" ht="17.25" customHeight="1" x14ac:dyDescent="0.2">
      <c r="A26" s="4">
        <v>1</v>
      </c>
      <c r="B26" s="253" t="s">
        <v>95</v>
      </c>
      <c r="C26" s="254"/>
      <c r="D26" s="254"/>
      <c r="E26" s="254"/>
      <c r="F26" s="255"/>
      <c r="G26" s="82">
        <f>VLOOKUP(C4,Sheet1!A:G,7,0)</f>
        <v>497.8</v>
      </c>
      <c r="H26" s="102"/>
      <c r="J26" s="67"/>
      <c r="M26" s="68"/>
      <c r="R26" s="69"/>
      <c r="S26" s="69"/>
      <c r="T26" s="69"/>
    </row>
    <row r="27" spans="1:20" s="23" customFormat="1" ht="17.25" customHeight="1" x14ac:dyDescent="0.2">
      <c r="A27" s="4">
        <v>2</v>
      </c>
      <c r="B27" s="250" t="s">
        <v>96</v>
      </c>
      <c r="C27" s="251"/>
      <c r="D27" s="251"/>
      <c r="E27" s="251"/>
      <c r="F27" s="252"/>
      <c r="G27" s="108">
        <v>8000000</v>
      </c>
      <c r="H27" s="102"/>
      <c r="J27" s="67"/>
      <c r="M27" s="68"/>
      <c r="R27" s="69"/>
      <c r="S27" s="69"/>
      <c r="T27" s="69"/>
    </row>
    <row r="28" spans="1:20" s="200" customFormat="1" ht="17.25" customHeight="1" x14ac:dyDescent="0.2">
      <c r="A28" s="211">
        <v>3</v>
      </c>
      <c r="B28" s="322" t="s">
        <v>54</v>
      </c>
      <c r="C28" s="323"/>
      <c r="D28" s="323"/>
      <c r="E28" s="323"/>
      <c r="F28" s="324"/>
      <c r="G28" s="209">
        <v>0</v>
      </c>
      <c r="H28" s="212"/>
      <c r="J28" s="206"/>
      <c r="M28" s="201"/>
      <c r="R28" s="202"/>
      <c r="S28" s="202"/>
      <c r="T28" s="202"/>
    </row>
    <row r="29" spans="1:20" s="23" customFormat="1" ht="16.5" customHeight="1" x14ac:dyDescent="0.2">
      <c r="A29" s="109">
        <v>4</v>
      </c>
      <c r="B29" s="357" t="s">
        <v>63</v>
      </c>
      <c r="C29" s="357"/>
      <c r="D29" s="357"/>
      <c r="E29" s="357"/>
      <c r="F29" s="357"/>
      <c r="G29" s="110">
        <f>G30+G31</f>
        <v>4380640000</v>
      </c>
      <c r="H29" s="66"/>
      <c r="J29" s="67"/>
      <c r="M29" s="68"/>
      <c r="R29" s="69"/>
      <c r="S29" s="69"/>
      <c r="T29" s="69"/>
    </row>
    <row r="30" spans="1:20" s="23" customFormat="1" ht="17.25" customHeight="1" x14ac:dyDescent="0.2">
      <c r="A30" s="111">
        <v>5</v>
      </c>
      <c r="B30" s="358" t="s">
        <v>64</v>
      </c>
      <c r="C30" s="358"/>
      <c r="D30" s="358"/>
      <c r="E30" s="358"/>
      <c r="F30" s="358"/>
      <c r="G30" s="112">
        <f>G26*G27</f>
        <v>3982400000</v>
      </c>
      <c r="H30" s="66"/>
      <c r="J30" s="67"/>
      <c r="M30" s="68"/>
      <c r="R30" s="69"/>
      <c r="S30" s="69"/>
      <c r="T30" s="69"/>
    </row>
    <row r="31" spans="1:20" s="23" customFormat="1" ht="17.25" customHeight="1" x14ac:dyDescent="0.2">
      <c r="A31" s="111">
        <v>6</v>
      </c>
      <c r="B31" s="358" t="s">
        <v>20</v>
      </c>
      <c r="C31" s="358"/>
      <c r="D31" s="358"/>
      <c r="E31" s="358"/>
      <c r="F31" s="358"/>
      <c r="G31" s="112">
        <f>G30*10%</f>
        <v>398240000</v>
      </c>
      <c r="H31" s="66"/>
      <c r="J31" s="67"/>
      <c r="M31" s="68"/>
      <c r="R31" s="69"/>
      <c r="S31" s="69"/>
      <c r="T31" s="69"/>
    </row>
    <row r="32" spans="1:20" s="23" customFormat="1" ht="20.25" customHeight="1" x14ac:dyDescent="0.2">
      <c r="A32" s="64" t="s">
        <v>40</v>
      </c>
      <c r="B32" s="321" t="s">
        <v>79</v>
      </c>
      <c r="C32" s="321"/>
      <c r="D32" s="321"/>
      <c r="E32" s="321"/>
      <c r="F32" s="321"/>
      <c r="G32" s="65">
        <f>VLOOKUP(C4,Sheet1!A:D,4,0)</f>
        <v>187805066</v>
      </c>
      <c r="H32" s="66"/>
      <c r="J32" s="67"/>
      <c r="M32" s="68"/>
      <c r="R32" s="69"/>
      <c r="S32" s="69"/>
      <c r="T32" s="69"/>
    </row>
    <row r="33" spans="1:20" ht="20.25" hidden="1" customHeight="1" x14ac:dyDescent="0.2">
      <c r="A33" s="80" t="s">
        <v>65</v>
      </c>
      <c r="B33" s="247" t="s">
        <v>66</v>
      </c>
      <c r="C33" s="248"/>
      <c r="D33" s="248"/>
      <c r="E33" s="248"/>
      <c r="F33" s="249"/>
      <c r="G33" s="70">
        <f>+G18+G29+G32</f>
        <v>39639229451.227127</v>
      </c>
      <c r="H33" s="8" t="s">
        <v>157</v>
      </c>
      <c r="J33" s="71" t="s">
        <v>16</v>
      </c>
      <c r="K33" s="72"/>
      <c r="L33" s="72"/>
      <c r="M33" s="73">
        <v>5.0000000000000001E-3</v>
      </c>
      <c r="N33" s="72" t="s">
        <v>17</v>
      </c>
      <c r="O33" s="72"/>
      <c r="P33" s="72"/>
    </row>
    <row r="34" spans="1:20" s="74" customFormat="1" ht="20.25" customHeight="1" x14ac:dyDescent="0.2">
      <c r="A34" s="215" t="s">
        <v>65</v>
      </c>
      <c r="B34" s="313" t="s">
        <v>66</v>
      </c>
      <c r="C34" s="313"/>
      <c r="D34" s="313"/>
      <c r="E34" s="313"/>
      <c r="F34" s="313"/>
      <c r="G34" s="136">
        <f ca="1">G22+G29+G32</f>
        <v>38656102872.917847</v>
      </c>
      <c r="H34" s="74" t="s">
        <v>158</v>
      </c>
      <c r="J34" s="75"/>
      <c r="R34" s="76"/>
      <c r="S34" s="76"/>
      <c r="T34" s="76"/>
    </row>
    <row r="35" spans="1:20" x14ac:dyDescent="0.2">
      <c r="J35" s="362" t="s">
        <v>107</v>
      </c>
      <c r="K35" s="363"/>
      <c r="L35" s="192">
        <v>45731</v>
      </c>
    </row>
    <row r="36" spans="1:20" ht="20.25" hidden="1" customHeight="1" x14ac:dyDescent="0.2">
      <c r="A36" s="138">
        <v>1</v>
      </c>
      <c r="B36" s="372" t="s">
        <v>23</v>
      </c>
      <c r="C36" s="373"/>
      <c r="D36" s="373"/>
      <c r="E36" s="373"/>
      <c r="F36" s="373"/>
      <c r="G36" s="373"/>
      <c r="J36" s="8"/>
      <c r="K36" s="113" t="s">
        <v>42</v>
      </c>
      <c r="L36" s="114"/>
      <c r="M36" s="114"/>
      <c r="N36" s="114"/>
      <c r="O36" s="114"/>
      <c r="P36" s="115">
        <v>0.11</v>
      </c>
      <c r="Q36" s="116"/>
      <c r="R36" s="116"/>
      <c r="S36" s="116"/>
    </row>
    <row r="37" spans="1:20" ht="39" hidden="1" customHeight="1" x14ac:dyDescent="0.2">
      <c r="A37" s="15" t="s">
        <v>24</v>
      </c>
      <c r="B37" s="359" t="s">
        <v>22</v>
      </c>
      <c r="C37" s="360"/>
      <c r="D37" s="361"/>
      <c r="E37" s="15" t="s">
        <v>3</v>
      </c>
      <c r="F37" s="15" t="s">
        <v>98</v>
      </c>
      <c r="G37" s="15" t="s">
        <v>99</v>
      </c>
      <c r="H37" s="15" t="s">
        <v>68</v>
      </c>
      <c r="K37" s="1" t="s">
        <v>24</v>
      </c>
      <c r="L37" s="2" t="s">
        <v>43</v>
      </c>
      <c r="M37" s="2" t="s">
        <v>44</v>
      </c>
      <c r="N37" s="2" t="s">
        <v>69</v>
      </c>
      <c r="O37" s="2" t="s">
        <v>46</v>
      </c>
      <c r="P37" s="2" t="s">
        <v>47</v>
      </c>
      <c r="Q37" s="2" t="s">
        <v>48</v>
      </c>
      <c r="R37" s="2" t="s">
        <v>49</v>
      </c>
      <c r="S37" s="2" t="s">
        <v>50</v>
      </c>
    </row>
    <row r="38" spans="1:20" ht="21.75" hidden="1" customHeight="1" x14ac:dyDescent="0.2">
      <c r="A38" s="4"/>
      <c r="B38" s="317" t="s">
        <v>110</v>
      </c>
      <c r="C38" s="317"/>
      <c r="D38" s="317"/>
      <c r="E38" s="4"/>
      <c r="F38" s="5">
        <f ca="1">TODAY()</f>
        <v>46084</v>
      </c>
      <c r="G38" s="6">
        <v>300000000</v>
      </c>
      <c r="H38" s="7"/>
      <c r="K38" s="4"/>
      <c r="L38" s="25"/>
      <c r="M38" s="7"/>
      <c r="N38" s="7"/>
      <c r="O38" s="28"/>
      <c r="P38" s="4"/>
      <c r="Q38" s="7"/>
      <c r="R38" s="26"/>
      <c r="S38" s="26"/>
    </row>
    <row r="39" spans="1:20" ht="21.75" hidden="1" customHeight="1" x14ac:dyDescent="0.2">
      <c r="A39" s="189" t="s">
        <v>25</v>
      </c>
      <c r="B39" s="317" t="s">
        <v>159</v>
      </c>
      <c r="C39" s="317"/>
      <c r="D39" s="317"/>
      <c r="E39" s="11">
        <v>0.1</v>
      </c>
      <c r="F39" s="5">
        <f ca="1">F38+5</f>
        <v>46089</v>
      </c>
      <c r="G39" s="6">
        <f>E39*G18-G38</f>
        <v>3207078438.5227127</v>
      </c>
      <c r="H39" s="7"/>
      <c r="K39" s="12" t="str">
        <f t="shared" ref="K39:K44" si="0">A39</f>
        <v>Lần 1</v>
      </c>
      <c r="L39" s="25"/>
      <c r="M39" s="7"/>
      <c r="N39" s="7"/>
      <c r="O39" s="28"/>
      <c r="P39" s="4"/>
      <c r="Q39" s="7"/>
      <c r="R39" s="26"/>
      <c r="S39" s="26"/>
    </row>
    <row r="40" spans="1:20" ht="21.75" hidden="1" customHeight="1" x14ac:dyDescent="0.2">
      <c r="A40" s="216" t="s">
        <v>26</v>
      </c>
      <c r="B40" s="318" t="s">
        <v>101</v>
      </c>
      <c r="C40" s="319"/>
      <c r="D40" s="320"/>
      <c r="E40" s="11">
        <v>0.15</v>
      </c>
      <c r="F40" s="5">
        <f ca="1">IF(WEEKDAY($F$38+25)=1,$F$38+26,$F$38+25)</f>
        <v>46109</v>
      </c>
      <c r="G40" s="6">
        <f>E40*G18</f>
        <v>5260617657.7840691</v>
      </c>
      <c r="H40" s="7"/>
      <c r="K40" s="12" t="str">
        <f t="shared" si="0"/>
        <v>Lần 2</v>
      </c>
      <c r="L40" s="25">
        <f ca="1">F40</f>
        <v>46109</v>
      </c>
      <c r="M40" s="27">
        <f ca="1">F38+25</f>
        <v>46109</v>
      </c>
      <c r="N40" s="4">
        <f ca="1">IF(OR(L40-M40&lt;1,M40=""),0,L40-M40)</f>
        <v>0</v>
      </c>
      <c r="O40" s="28">
        <f>G40</f>
        <v>5260617657.7840691</v>
      </c>
      <c r="P40" s="4">
        <f>ROUNDDOWN($P$36/365,7)</f>
        <v>3.0130000000000001E-4</v>
      </c>
      <c r="Q40" s="28">
        <f ca="1">O40-O40*(1/(1+P40)^N40)</f>
        <v>0</v>
      </c>
      <c r="R40" s="32">
        <f ca="1">Q40/1.1</f>
        <v>0</v>
      </c>
      <c r="S40" s="32">
        <f ca="1">O40-R40</f>
        <v>5260617657.7840691</v>
      </c>
    </row>
    <row r="41" spans="1:20" ht="21.75" hidden="1" customHeight="1" x14ac:dyDescent="0.2">
      <c r="A41" s="12" t="s">
        <v>27</v>
      </c>
      <c r="B41" s="253" t="s">
        <v>104</v>
      </c>
      <c r="C41" s="254"/>
      <c r="D41" s="255"/>
      <c r="E41" s="11">
        <v>0.2</v>
      </c>
      <c r="F41" s="5">
        <f ca="1">IF(WEEKDAY($F$38+70)=1,$F$38+71,$F$38+70)</f>
        <v>46154</v>
      </c>
      <c r="G41" s="6">
        <f>E41*G18</f>
        <v>7014156877.0454254</v>
      </c>
      <c r="H41" s="7"/>
      <c r="K41" s="12" t="str">
        <f t="shared" si="0"/>
        <v>Lần 3</v>
      </c>
      <c r="L41" s="25">
        <f ca="1">F41</f>
        <v>46154</v>
      </c>
      <c r="M41" s="27">
        <f ca="1">F38+25</f>
        <v>46109</v>
      </c>
      <c r="N41" s="4">
        <f ca="1">IF(OR(L41-M41&lt;1,M41=""),0,L41-M41)</f>
        <v>45</v>
      </c>
      <c r="O41" s="28">
        <f>G41</f>
        <v>7014156877.0454254</v>
      </c>
      <c r="P41" s="4">
        <f>ROUNDDOWN($P$36/365,7)</f>
        <v>3.0130000000000001E-4</v>
      </c>
      <c r="Q41" s="28">
        <f ca="1">O41-O41*(1/(1+P41)^N41)</f>
        <v>94445502.218953133</v>
      </c>
      <c r="R41" s="32">
        <f ca="1">Q41/1.1</f>
        <v>85859547.471775562</v>
      </c>
      <c r="S41" s="32">
        <f ca="1">O41-R41</f>
        <v>6928297329.5736494</v>
      </c>
    </row>
    <row r="42" spans="1:20" ht="21.75" hidden="1" customHeight="1" x14ac:dyDescent="0.2">
      <c r="A42" s="12" t="s">
        <v>28</v>
      </c>
      <c r="B42" s="253" t="s">
        <v>105</v>
      </c>
      <c r="C42" s="254"/>
      <c r="D42" s="255"/>
      <c r="E42" s="11">
        <v>0.2</v>
      </c>
      <c r="F42" s="5">
        <f ca="1">IF(WEEKDAY($F$38+130)=1,$F$38+130,$F$38+130)</f>
        <v>46214</v>
      </c>
      <c r="G42" s="6">
        <f>E42*G18</f>
        <v>7014156877.0454254</v>
      </c>
      <c r="H42" s="7"/>
      <c r="K42" s="12" t="str">
        <f t="shared" si="0"/>
        <v>Lần 4</v>
      </c>
      <c r="L42" s="25">
        <f ca="1">F42</f>
        <v>46214</v>
      </c>
      <c r="M42" s="27">
        <f ca="1">F38+25</f>
        <v>46109</v>
      </c>
      <c r="N42" s="4">
        <f ca="1">IF(OR(L42-M42&lt;1,M42=""),0,L42-M42)</f>
        <v>105</v>
      </c>
      <c r="O42" s="28">
        <f>G42</f>
        <v>7014156877.0454254</v>
      </c>
      <c r="P42" s="4">
        <f>ROUNDDOWN($P$36/365,7)</f>
        <v>3.0130000000000001E-4</v>
      </c>
      <c r="Q42" s="28">
        <f ca="1">O42-O42*(1/(1+P42)^N42)</f>
        <v>218397593.80494213</v>
      </c>
      <c r="R42" s="32">
        <f ca="1">Q42/1.1</f>
        <v>198543267.09540191</v>
      </c>
      <c r="S42" s="32">
        <f ca="1">O42-R42</f>
        <v>6815613609.9500237</v>
      </c>
    </row>
    <row r="43" spans="1:20" ht="21.75" hidden="1" customHeight="1" x14ac:dyDescent="0.2">
      <c r="A43" s="12" t="s">
        <v>29</v>
      </c>
      <c r="B43" s="253" t="s">
        <v>106</v>
      </c>
      <c r="C43" s="254"/>
      <c r="D43" s="255"/>
      <c r="E43" s="11">
        <v>0.1</v>
      </c>
      <c r="F43" s="5">
        <f ca="1">IF(WEEKDAY($F$38+190)=1,$F$38+191,$F$38+190)</f>
        <v>46274</v>
      </c>
      <c r="G43" s="6">
        <f>E43*G18</f>
        <v>3507078438.5227127</v>
      </c>
      <c r="H43" s="7"/>
      <c r="K43" s="12" t="str">
        <f t="shared" si="0"/>
        <v>Lần 5</v>
      </c>
      <c r="L43" s="25">
        <f ca="1">F43</f>
        <v>46274</v>
      </c>
      <c r="M43" s="27">
        <f ca="1">F38+25</f>
        <v>46109</v>
      </c>
      <c r="N43" s="4">
        <f ca="1">IF(OR(L43-M43&lt;1,M43=""),0,L43-M43)</f>
        <v>165</v>
      </c>
      <c r="O43" s="28">
        <f>G43</f>
        <v>3507078438.5227127</v>
      </c>
      <c r="P43" s="4">
        <f>ROUNDDOWN($P$36/365,7)</f>
        <v>3.0130000000000001E-4</v>
      </c>
      <c r="Q43" s="28">
        <f ca="1">O43-O43*(1/(1+P43)^N43)</f>
        <v>170064672.04120493</v>
      </c>
      <c r="R43" s="32">
        <f ca="1">Q43/1.1</f>
        <v>154604247.3101863</v>
      </c>
      <c r="S43" s="32">
        <f ca="1">O43-R43</f>
        <v>3352474191.2125263</v>
      </c>
    </row>
    <row r="44" spans="1:20" ht="21.75" hidden="1" customHeight="1" x14ac:dyDescent="0.2">
      <c r="A44" s="63" t="s">
        <v>30</v>
      </c>
      <c r="B44" s="253" t="s">
        <v>111</v>
      </c>
      <c r="C44" s="254"/>
      <c r="D44" s="255"/>
      <c r="E44" s="11">
        <v>0.25</v>
      </c>
      <c r="F44" s="5">
        <f ca="1">IF(WEEKDAY($F$38+280)=1,$F$38+281,$F$38+280)</f>
        <v>46364</v>
      </c>
      <c r="G44" s="6">
        <f>25%*G18</f>
        <v>8767696096.3067818</v>
      </c>
      <c r="H44" s="7"/>
      <c r="K44" s="12" t="str">
        <f t="shared" si="0"/>
        <v>Lần 6</v>
      </c>
      <c r="L44" s="25">
        <f ca="1">F44</f>
        <v>46364</v>
      </c>
      <c r="M44" s="27">
        <f ca="1">F38+25</f>
        <v>46109</v>
      </c>
      <c r="N44" s="4">
        <f ca="1">IF(OR(L44-M44&lt;1,M44=""),0,L44-M44)-60</f>
        <v>195</v>
      </c>
      <c r="O44" s="28">
        <f>G44</f>
        <v>8767696096.3067818</v>
      </c>
      <c r="P44" s="4">
        <f>ROUNDDOWN($P$36/365,7)</f>
        <v>3.0130000000000001E-4</v>
      </c>
      <c r="Q44" s="28">
        <f ca="1">O44-O44*(1/(1+P44)^N44)</f>
        <v>500218810.244174</v>
      </c>
      <c r="R44" s="32">
        <f ca="1">Q44/1.1</f>
        <v>454744372.94924903</v>
      </c>
      <c r="S44" s="32">
        <f ca="1">O44-R44</f>
        <v>8312951723.3575325</v>
      </c>
    </row>
    <row r="45" spans="1:20" ht="24" hidden="1" customHeight="1" x14ac:dyDescent="0.2">
      <c r="A45" s="63" t="s">
        <v>31</v>
      </c>
      <c r="B45" s="341" t="s">
        <v>112</v>
      </c>
      <c r="C45" s="341"/>
      <c r="D45" s="341"/>
      <c r="E45" s="11">
        <v>0.1</v>
      </c>
      <c r="F45" s="5">
        <f ca="1">IF(WEEKDAY($F$38+720+10)=1,$F$38+721+10,$F$38+720+10)</f>
        <v>46814</v>
      </c>
      <c r="G45" s="6"/>
      <c r="H45" s="13">
        <f>E45*G29</f>
        <v>438064000</v>
      </c>
      <c r="K45" s="19"/>
      <c r="L45" s="19"/>
      <c r="M45" s="19"/>
      <c r="N45" s="19"/>
      <c r="O45" s="30">
        <f>SUM(O40:O44)</f>
        <v>31563705946.704414</v>
      </c>
      <c r="P45" s="19"/>
      <c r="Q45" s="19"/>
      <c r="R45" s="33">
        <f ca="1">SUM(R40:R44)</f>
        <v>893751434.82661283</v>
      </c>
      <c r="S45" s="31"/>
    </row>
    <row r="46" spans="1:20" ht="24" hidden="1" customHeight="1" x14ac:dyDescent="0.2">
      <c r="A46" s="7" t="s">
        <v>81</v>
      </c>
      <c r="B46" s="341" t="s">
        <v>113</v>
      </c>
      <c r="C46" s="341"/>
      <c r="D46" s="341"/>
      <c r="E46" s="125">
        <v>0.15</v>
      </c>
      <c r="F46" s="5">
        <f ca="1">IF(WEEKDAY($F$38+720+25)=1,$F$38+721+25,$F$38+720+25)</f>
        <v>46829</v>
      </c>
      <c r="G46" s="127"/>
      <c r="H46" s="128">
        <f>E46*G29</f>
        <v>657096000</v>
      </c>
      <c r="O46" s="123"/>
      <c r="R46" s="124"/>
    </row>
    <row r="47" spans="1:20" ht="24" hidden="1" customHeight="1" x14ac:dyDescent="0.2">
      <c r="A47" s="7" t="s">
        <v>82</v>
      </c>
      <c r="B47" s="341" t="s">
        <v>114</v>
      </c>
      <c r="C47" s="341"/>
      <c r="D47" s="341"/>
      <c r="E47" s="125">
        <v>0.2</v>
      </c>
      <c r="F47" s="5">
        <f ca="1">IF(WEEKDAY($F$38+720+70)=1,$F$38+721+70,$F$38+720+70)</f>
        <v>46874</v>
      </c>
      <c r="G47" s="127"/>
      <c r="H47" s="128">
        <f>E47*G29</f>
        <v>876128000</v>
      </c>
      <c r="O47" s="123"/>
      <c r="R47" s="124"/>
    </row>
    <row r="48" spans="1:20" ht="24" hidden="1" customHeight="1" x14ac:dyDescent="0.2">
      <c r="A48" s="7" t="s">
        <v>83</v>
      </c>
      <c r="B48" s="341" t="s">
        <v>115</v>
      </c>
      <c r="C48" s="341"/>
      <c r="D48" s="341"/>
      <c r="E48" s="125">
        <v>0.2</v>
      </c>
      <c r="F48" s="5">
        <f ca="1">IF(WEEKDAY($F$38+720+130)=1,$F$38+721+130,$F$38+720+130)</f>
        <v>46934</v>
      </c>
      <c r="G48" s="127"/>
      <c r="H48" s="128">
        <f>E48*G29</f>
        <v>876128000</v>
      </c>
      <c r="O48" s="123"/>
      <c r="R48" s="124"/>
    </row>
    <row r="49" spans="1:18" ht="24" hidden="1" customHeight="1" x14ac:dyDescent="0.2">
      <c r="A49" s="7" t="s">
        <v>84</v>
      </c>
      <c r="B49" s="341" t="s">
        <v>116</v>
      </c>
      <c r="C49" s="341"/>
      <c r="D49" s="341"/>
      <c r="E49" s="125">
        <v>0.1</v>
      </c>
      <c r="F49" s="5">
        <f ca="1">IF(WEEKDAY($F$38+720+190)=1,$F$38+721+190,$F$38+720+190)</f>
        <v>46994</v>
      </c>
      <c r="G49" s="127"/>
      <c r="H49" s="128">
        <f>E49*G29</f>
        <v>438064000</v>
      </c>
      <c r="O49" s="123"/>
      <c r="R49" s="124"/>
    </row>
    <row r="50" spans="1:18" ht="39" hidden="1" customHeight="1" x14ac:dyDescent="0.2">
      <c r="A50" s="7" t="s">
        <v>85</v>
      </c>
      <c r="B50" s="341" t="s">
        <v>117</v>
      </c>
      <c r="C50" s="341"/>
      <c r="D50" s="341"/>
      <c r="E50" s="126" t="s">
        <v>118</v>
      </c>
      <c r="F50" s="5">
        <f ca="1">F38+720+280</f>
        <v>47084</v>
      </c>
      <c r="G50" s="127"/>
      <c r="H50" s="128">
        <f>25%*G29+G32</f>
        <v>1282965066</v>
      </c>
      <c r="O50" s="123"/>
      <c r="R50" s="124"/>
    </row>
    <row r="51" spans="1:18" ht="21.75" hidden="1" customHeight="1" x14ac:dyDescent="0.2">
      <c r="A51" s="129"/>
      <c r="B51" s="374"/>
      <c r="C51" s="375"/>
      <c r="D51" s="375"/>
      <c r="E51" s="130"/>
      <c r="F51" s="131"/>
      <c r="G51" s="132">
        <f>SUM(G38:G50)</f>
        <v>35070784385.227127</v>
      </c>
      <c r="H51" s="133">
        <f>SUM(H45:H50)</f>
        <v>4568445066</v>
      </c>
      <c r="I51" s="217" t="b">
        <f>EXACT(G51+H51,G33)</f>
        <v>1</v>
      </c>
    </row>
    <row r="52" spans="1:18" ht="21.75" hidden="1" customHeight="1" x14ac:dyDescent="0.2">
      <c r="A52" s="8"/>
      <c r="B52" s="59"/>
      <c r="C52" s="60"/>
      <c r="D52" s="60"/>
      <c r="E52" s="61"/>
      <c r="F52" s="62"/>
      <c r="G52" s="134" t="b">
        <f>EXACT(G51,G18)</f>
        <v>1</v>
      </c>
      <c r="H52" s="135" t="b">
        <f>EXACT(H51,G29+G32)</f>
        <v>1</v>
      </c>
      <c r="I52" s="135"/>
    </row>
    <row r="53" spans="1:18" ht="21.75" hidden="1" customHeight="1" x14ac:dyDescent="0.2">
      <c r="A53" s="139">
        <v>1</v>
      </c>
      <c r="B53" s="314" t="s">
        <v>80</v>
      </c>
      <c r="C53" s="315"/>
      <c r="D53" s="315"/>
      <c r="E53" s="315"/>
      <c r="F53" s="315"/>
      <c r="G53" s="316"/>
    </row>
    <row r="54" spans="1:18" ht="31.5" hidden="1" customHeight="1" x14ac:dyDescent="0.2">
      <c r="A54" s="350" t="s">
        <v>24</v>
      </c>
      <c r="B54" s="365" t="s">
        <v>22</v>
      </c>
      <c r="C54" s="366"/>
      <c r="D54" s="367"/>
      <c r="E54" s="350" t="s">
        <v>3</v>
      </c>
      <c r="F54" s="350" t="s">
        <v>98</v>
      </c>
      <c r="G54" s="364" t="s">
        <v>99</v>
      </c>
      <c r="H54" s="364"/>
      <c r="I54" s="350" t="s">
        <v>68</v>
      </c>
    </row>
    <row r="55" spans="1:18" ht="17" hidden="1" x14ac:dyDescent="0.2">
      <c r="A55" s="351"/>
      <c r="B55" s="368"/>
      <c r="C55" s="369"/>
      <c r="D55" s="370"/>
      <c r="E55" s="351"/>
      <c r="F55" s="351"/>
      <c r="G55" s="15" t="s">
        <v>6</v>
      </c>
      <c r="H55" s="15" t="s">
        <v>39</v>
      </c>
      <c r="I55" s="351"/>
    </row>
    <row r="56" spans="1:18" ht="19.5" hidden="1" customHeight="1" x14ac:dyDescent="0.2">
      <c r="A56" s="4"/>
      <c r="B56" s="317" t="s">
        <v>110</v>
      </c>
      <c r="C56" s="317"/>
      <c r="D56" s="317"/>
      <c r="E56" s="117"/>
      <c r="F56" s="5">
        <f ca="1">F38</f>
        <v>46084</v>
      </c>
      <c r="G56" s="28">
        <f>G38</f>
        <v>300000000</v>
      </c>
      <c r="H56" s="7"/>
      <c r="I56" s="7"/>
    </row>
    <row r="57" spans="1:18" ht="19.5" hidden="1" customHeight="1" x14ac:dyDescent="0.2">
      <c r="A57" s="63" t="s">
        <v>25</v>
      </c>
      <c r="B57" s="317" t="s">
        <v>159</v>
      </c>
      <c r="C57" s="317"/>
      <c r="D57" s="317"/>
      <c r="E57" s="22">
        <v>0.1</v>
      </c>
      <c r="F57" s="5">
        <f ca="1">F39</f>
        <v>46089</v>
      </c>
      <c r="G57" s="28">
        <f>E57*G18-G56</f>
        <v>3207078438.5227127</v>
      </c>
      <c r="H57" s="7"/>
      <c r="I57" s="7"/>
    </row>
    <row r="58" spans="1:18" ht="19.5" hidden="1" customHeight="1" x14ac:dyDescent="0.2">
      <c r="A58" s="348" t="s">
        <v>26</v>
      </c>
      <c r="B58" s="318" t="s">
        <v>119</v>
      </c>
      <c r="C58" s="319"/>
      <c r="D58" s="320"/>
      <c r="E58" s="22">
        <v>0.2</v>
      </c>
      <c r="F58" s="5">
        <f ca="1">IF(WEEKDAY($F$56+24)=1,$F$56+25,$F$56+24)</f>
        <v>46108</v>
      </c>
      <c r="G58" s="28">
        <f>E58*G18</f>
        <v>7014156877.0454254</v>
      </c>
      <c r="H58" s="7"/>
      <c r="I58" s="7"/>
    </row>
    <row r="59" spans="1:18" ht="19.5" hidden="1" customHeight="1" x14ac:dyDescent="0.2">
      <c r="A59" s="349"/>
      <c r="B59" s="318" t="s">
        <v>123</v>
      </c>
      <c r="C59" s="319"/>
      <c r="D59" s="320"/>
      <c r="E59" s="22">
        <v>0.7</v>
      </c>
      <c r="F59" s="5">
        <f ca="1">IF(WEEKDAY($F$56+25)=1,$F$56+26,$F$56+25)</f>
        <v>46109</v>
      </c>
      <c r="G59" s="7"/>
      <c r="H59" s="28">
        <f>E59*G18</f>
        <v>24549549069.658989</v>
      </c>
      <c r="I59" s="7"/>
    </row>
    <row r="60" spans="1:18" ht="19.5" hidden="1" customHeight="1" x14ac:dyDescent="0.2">
      <c r="A60" s="12" t="s">
        <v>27</v>
      </c>
      <c r="B60" s="341" t="s">
        <v>112</v>
      </c>
      <c r="C60" s="341"/>
      <c r="D60" s="341"/>
      <c r="E60" s="61">
        <v>0.1</v>
      </c>
      <c r="F60" s="218">
        <f ca="1">IF(WEEKDAY($F$56+720+10)=1,$F$56+721+10,$F$56+720+10)</f>
        <v>46814</v>
      </c>
      <c r="G60" s="219"/>
      <c r="H60" s="220"/>
      <c r="I60" s="221">
        <f>E60*G29</f>
        <v>438064000</v>
      </c>
    </row>
    <row r="61" spans="1:18" ht="19.5" hidden="1" customHeight="1" x14ac:dyDescent="0.2">
      <c r="A61" s="12" t="s">
        <v>28</v>
      </c>
      <c r="B61" s="341" t="s">
        <v>113</v>
      </c>
      <c r="C61" s="341"/>
      <c r="D61" s="341"/>
      <c r="E61" s="22">
        <v>0.15</v>
      </c>
      <c r="F61" s="218">
        <f ca="1">IF(WEEKDAY($F$56+720+25)=1,$F$56+721+25,$F$56+720+25)</f>
        <v>46829</v>
      </c>
      <c r="G61" s="219"/>
      <c r="H61" s="220"/>
      <c r="I61" s="221">
        <f>E61*G29</f>
        <v>657096000</v>
      </c>
    </row>
    <row r="62" spans="1:18" ht="19.5" hidden="1" customHeight="1" x14ac:dyDescent="0.2">
      <c r="A62" s="12" t="s">
        <v>29</v>
      </c>
      <c r="B62" s="341" t="s">
        <v>114</v>
      </c>
      <c r="C62" s="341"/>
      <c r="D62" s="341"/>
      <c r="E62" s="22">
        <v>0.2</v>
      </c>
      <c r="F62" s="218">
        <f ca="1">IF(WEEKDAY($F$56+720+70)=1,$F$56+721+70,$F$56+720+70)</f>
        <v>46874</v>
      </c>
      <c r="G62" s="219"/>
      <c r="H62" s="220"/>
      <c r="I62" s="221">
        <f>E62*G29</f>
        <v>876128000</v>
      </c>
    </row>
    <row r="63" spans="1:18" ht="19.5" hidden="1" customHeight="1" x14ac:dyDescent="0.2">
      <c r="A63" s="12" t="s">
        <v>30</v>
      </c>
      <c r="B63" s="341" t="s">
        <v>115</v>
      </c>
      <c r="C63" s="341"/>
      <c r="D63" s="341"/>
      <c r="E63" s="22">
        <v>0.2</v>
      </c>
      <c r="F63" s="218">
        <f ca="1">IF(WEEKDAY($F$56+720+130)=1,$F$56+721+130,$F$56+720+130)</f>
        <v>46934</v>
      </c>
      <c r="G63" s="219"/>
      <c r="H63" s="220"/>
      <c r="I63" s="221">
        <f>E63*G29</f>
        <v>876128000</v>
      </c>
    </row>
    <row r="64" spans="1:18" ht="26.25" hidden="1" customHeight="1" x14ac:dyDescent="0.2">
      <c r="A64" s="12" t="s">
        <v>31</v>
      </c>
      <c r="B64" s="341" t="s">
        <v>116</v>
      </c>
      <c r="C64" s="341"/>
      <c r="D64" s="341"/>
      <c r="E64" s="22">
        <v>0.1</v>
      </c>
      <c r="F64" s="218">
        <f ca="1">IF(WEEKDAY($F$56+720+190)=1,$F$56+721+190,$F$56+720+190)</f>
        <v>46994</v>
      </c>
      <c r="G64" s="220"/>
      <c r="H64" s="219"/>
      <c r="I64" s="128">
        <f>E64*G29</f>
        <v>438064000</v>
      </c>
    </row>
    <row r="65" spans="1:10" ht="26.25" hidden="1" customHeight="1" x14ac:dyDescent="0.2">
      <c r="A65" s="12" t="s">
        <v>81</v>
      </c>
      <c r="B65" s="341" t="s">
        <v>117</v>
      </c>
      <c r="C65" s="341"/>
      <c r="D65" s="341"/>
      <c r="E65" s="137" t="s">
        <v>118</v>
      </c>
      <c r="F65" s="218">
        <f ca="1">F56+720+280</f>
        <v>47084</v>
      </c>
      <c r="G65" s="222"/>
      <c r="H65" s="222"/>
      <c r="I65" s="223">
        <f>25%*G29+G32</f>
        <v>1282965066</v>
      </c>
    </row>
    <row r="66" spans="1:10" ht="19.5" hidden="1" customHeight="1" x14ac:dyDescent="0.2">
      <c r="A66" s="18"/>
      <c r="B66" s="338"/>
      <c r="C66" s="339"/>
      <c r="D66" s="340"/>
      <c r="E66" s="21"/>
      <c r="F66" s="188"/>
      <c r="G66" s="24">
        <f>SUM(G56:G58)</f>
        <v>10521235315.568138</v>
      </c>
      <c r="H66" s="190">
        <f>SUM(H56:H63)</f>
        <v>24549549069.658989</v>
      </c>
      <c r="I66" s="20">
        <f>SUM(I60:I65)</f>
        <v>4568445066</v>
      </c>
      <c r="J66" s="118">
        <f>+G66+H66+I66</f>
        <v>39639229451.227127</v>
      </c>
    </row>
    <row r="67" spans="1:10" ht="19.5" hidden="1" customHeight="1" x14ac:dyDescent="0.2">
      <c r="G67" s="371" t="b">
        <f>+EXACT(G66+H66,G18)</f>
        <v>1</v>
      </c>
      <c r="H67" s="371"/>
      <c r="I67" s="23" t="b">
        <f>EXACT(I66,G29+G32)</f>
        <v>1</v>
      </c>
      <c r="J67" s="67" t="b">
        <f>EXACT(J66,G33)</f>
        <v>1</v>
      </c>
    </row>
    <row r="68" spans="1:10" hidden="1" x14ac:dyDescent="0.2"/>
    <row r="69" spans="1:10" ht="20.25" customHeight="1" x14ac:dyDescent="0.2">
      <c r="A69" s="139">
        <v>1</v>
      </c>
      <c r="B69" s="314" t="s">
        <v>121</v>
      </c>
      <c r="C69" s="315"/>
      <c r="D69" s="315"/>
      <c r="E69" s="315"/>
      <c r="F69" s="315"/>
      <c r="G69" s="316"/>
    </row>
    <row r="70" spans="1:10" ht="34" x14ac:dyDescent="0.2">
      <c r="A70" s="15" t="s">
        <v>24</v>
      </c>
      <c r="B70" s="359" t="s">
        <v>22</v>
      </c>
      <c r="C70" s="360"/>
      <c r="D70" s="361"/>
      <c r="E70" s="15" t="s">
        <v>3</v>
      </c>
      <c r="F70" s="15" t="s">
        <v>98</v>
      </c>
      <c r="G70" s="15" t="s">
        <v>99</v>
      </c>
      <c r="H70" s="15" t="s">
        <v>68</v>
      </c>
    </row>
    <row r="71" spans="1:10" ht="20.25" customHeight="1" x14ac:dyDescent="0.2">
      <c r="A71" s="4"/>
      <c r="B71" s="317" t="s">
        <v>110</v>
      </c>
      <c r="C71" s="317"/>
      <c r="D71" s="317"/>
      <c r="E71" s="22"/>
      <c r="F71" s="5">
        <f ca="1">F38</f>
        <v>46084</v>
      </c>
      <c r="G71" s="28">
        <f>G38</f>
        <v>300000000</v>
      </c>
      <c r="H71" s="7"/>
    </row>
    <row r="72" spans="1:10" ht="20.25" customHeight="1" x14ac:dyDescent="0.2">
      <c r="A72" s="7" t="s">
        <v>25</v>
      </c>
      <c r="B72" s="317" t="s">
        <v>159</v>
      </c>
      <c r="C72" s="317"/>
      <c r="D72" s="317"/>
      <c r="E72" s="11">
        <v>0.1</v>
      </c>
      <c r="F72" s="5">
        <f ca="1">F39</f>
        <v>46089</v>
      </c>
      <c r="G72" s="44">
        <f ca="1">E72*G22-G71</f>
        <v>3108765780.6917853</v>
      </c>
      <c r="H72" s="7"/>
    </row>
    <row r="73" spans="1:10" ht="20.25" customHeight="1" x14ac:dyDescent="0.2">
      <c r="A73" s="12" t="s">
        <v>26</v>
      </c>
      <c r="B73" s="337" t="s">
        <v>101</v>
      </c>
      <c r="C73" s="337"/>
      <c r="D73" s="337"/>
      <c r="E73" s="11">
        <v>0.9</v>
      </c>
      <c r="F73" s="5">
        <f ca="1">IF(WEEKDAY($F$71+25)=1,$F$71+24,$F$71+25)</f>
        <v>46109</v>
      </c>
      <c r="G73" s="44">
        <f ca="1">E73*G22</f>
        <v>30678892026.226067</v>
      </c>
      <c r="H73" s="7"/>
    </row>
    <row r="74" spans="1:10" ht="20.25" customHeight="1" x14ac:dyDescent="0.2">
      <c r="A74" s="189" t="s">
        <v>27</v>
      </c>
      <c r="B74" s="253" t="s">
        <v>111</v>
      </c>
      <c r="C74" s="254"/>
      <c r="D74" s="255"/>
      <c r="E74" s="11"/>
      <c r="F74" s="5">
        <f ca="1">IF(WEEKDAY($F$71+280)=1,$F$71+281,$F$71+280)</f>
        <v>46364</v>
      </c>
      <c r="G74" s="44"/>
      <c r="H74" s="13">
        <f>E74*G29</f>
        <v>0</v>
      </c>
    </row>
    <row r="75" spans="1:10" ht="20.25" customHeight="1" x14ac:dyDescent="0.2">
      <c r="A75" s="63" t="s">
        <v>28</v>
      </c>
      <c r="B75" s="253" t="s">
        <v>112</v>
      </c>
      <c r="C75" s="254"/>
      <c r="D75" s="255"/>
      <c r="E75" s="11">
        <v>0.1</v>
      </c>
      <c r="F75" s="5">
        <f ca="1">IF(WEEKDAY($F$71+720+10)=1,$F$71+720+10,$F$71+720+10)</f>
        <v>46814</v>
      </c>
      <c r="G75" s="44"/>
      <c r="H75" s="13">
        <f>E75*G29</f>
        <v>438064000</v>
      </c>
    </row>
    <row r="76" spans="1:10" ht="20.25" customHeight="1" x14ac:dyDescent="0.2">
      <c r="A76" s="63" t="s">
        <v>29</v>
      </c>
      <c r="B76" s="253" t="s">
        <v>113</v>
      </c>
      <c r="C76" s="254"/>
      <c r="D76" s="255"/>
      <c r="E76" s="11">
        <v>0.15</v>
      </c>
      <c r="F76" s="5">
        <f ca="1">IF(WEEKDAY($F$71+720+25)=1,$F$71+721+25,$F$71+720+25)</f>
        <v>46829</v>
      </c>
      <c r="G76" s="44"/>
      <c r="H76" s="13">
        <f>E76*G29</f>
        <v>657096000</v>
      </c>
    </row>
    <row r="77" spans="1:10" ht="20.25" customHeight="1" x14ac:dyDescent="0.2">
      <c r="A77" s="63" t="s">
        <v>30</v>
      </c>
      <c r="B77" s="253" t="s">
        <v>114</v>
      </c>
      <c r="C77" s="254"/>
      <c r="D77" s="255"/>
      <c r="E77" s="11">
        <v>0.2</v>
      </c>
      <c r="F77" s="5">
        <f ca="1">IF(WEEKDAY($F$71+720+70)=1,$F$71+721+70,$F$71+720+70)</f>
        <v>46874</v>
      </c>
      <c r="G77" s="44"/>
      <c r="H77" s="13">
        <f>E77*G29</f>
        <v>876128000</v>
      </c>
    </row>
    <row r="78" spans="1:10" ht="20.25" customHeight="1" x14ac:dyDescent="0.2">
      <c r="A78" s="63" t="s">
        <v>31</v>
      </c>
      <c r="B78" s="253" t="s">
        <v>115</v>
      </c>
      <c r="C78" s="254"/>
      <c r="D78" s="255"/>
      <c r="E78" s="11">
        <v>0.2</v>
      </c>
      <c r="F78" s="5">
        <f ca="1">IF(WEEKDAY($F$71+720+130)=1,$F$71+721+130,$F$71+720+130)</f>
        <v>46934</v>
      </c>
      <c r="G78" s="44"/>
      <c r="H78" s="13">
        <f>E78*G29</f>
        <v>876128000</v>
      </c>
    </row>
    <row r="79" spans="1:10" ht="25.5" customHeight="1" x14ac:dyDescent="0.2">
      <c r="A79" s="63" t="s">
        <v>81</v>
      </c>
      <c r="B79" s="342" t="s">
        <v>116</v>
      </c>
      <c r="C79" s="343"/>
      <c r="D79" s="344"/>
      <c r="E79" s="11">
        <v>0.1</v>
      </c>
      <c r="F79" s="5">
        <f ca="1">+F72+720+270</f>
        <v>47079</v>
      </c>
      <c r="G79" s="7"/>
      <c r="H79" s="13">
        <f>E79*G29</f>
        <v>438064000</v>
      </c>
    </row>
    <row r="80" spans="1:10" ht="22.5" customHeight="1" x14ac:dyDescent="0.2">
      <c r="A80" s="63" t="s">
        <v>82</v>
      </c>
      <c r="B80" s="341" t="s">
        <v>117</v>
      </c>
      <c r="C80" s="341"/>
      <c r="D80" s="341"/>
      <c r="E80" s="14" t="s">
        <v>118</v>
      </c>
      <c r="F80" s="5">
        <f ca="1">F71+720+280</f>
        <v>47084</v>
      </c>
      <c r="G80" s="7"/>
      <c r="H80" s="13">
        <f>25%*G29+G32</f>
        <v>1282965066</v>
      </c>
    </row>
    <row r="81" spans="1:9" ht="21" customHeight="1" x14ac:dyDescent="0.2">
      <c r="A81" s="18"/>
      <c r="B81" s="338"/>
      <c r="C81" s="339"/>
      <c r="D81" s="340"/>
      <c r="E81" s="19"/>
      <c r="F81" s="19"/>
      <c r="G81" s="24">
        <f ca="1">SUM(G71:G73)</f>
        <v>34087657806.91785</v>
      </c>
      <c r="H81" s="20">
        <f>SUM(H74:H80)</f>
        <v>4568445066</v>
      </c>
      <c r="I81" s="34">
        <f ca="1">+G81+H81</f>
        <v>38656102872.917847</v>
      </c>
    </row>
    <row r="82" spans="1:9" ht="21" customHeight="1" x14ac:dyDescent="0.2">
      <c r="G82" s="23" t="b">
        <f ca="1">EXACT(G81,G22)</f>
        <v>1</v>
      </c>
      <c r="H82" s="23" t="b">
        <f>EXACT(H81,G29+G32)</f>
        <v>1</v>
      </c>
      <c r="I82" s="23" t="b">
        <f ca="1">EXACT(I81,G34)</f>
        <v>1</v>
      </c>
    </row>
    <row r="83" spans="1:9" ht="28.5" customHeight="1" x14ac:dyDescent="0.2">
      <c r="A83" s="335" t="s">
        <v>33</v>
      </c>
      <c r="B83" s="336"/>
      <c r="C83" s="336"/>
      <c r="D83" s="336"/>
      <c r="E83" s="336"/>
      <c r="F83" s="336"/>
      <c r="G83" s="336"/>
    </row>
    <row r="84" spans="1:9" ht="63.75" customHeight="1" x14ac:dyDescent="0.2">
      <c r="A84" s="345" t="s">
        <v>34</v>
      </c>
      <c r="B84" s="345"/>
      <c r="C84" s="345"/>
      <c r="D84" s="345"/>
      <c r="E84" s="345"/>
      <c r="F84" s="345"/>
      <c r="G84" s="345"/>
    </row>
    <row r="85" spans="1:9" x14ac:dyDescent="0.2">
      <c r="A85" s="119"/>
      <c r="B85" s="120" t="s">
        <v>7</v>
      </c>
      <c r="C85" s="121"/>
      <c r="D85" s="346" t="s">
        <v>35</v>
      </c>
      <c r="E85" s="346"/>
      <c r="F85" s="346" t="s">
        <v>8</v>
      </c>
      <c r="G85" s="346"/>
    </row>
    <row r="86" spans="1:9" x14ac:dyDescent="0.2">
      <c r="A86" s="119"/>
      <c r="B86" s="119" t="s">
        <v>9</v>
      </c>
      <c r="C86" s="114"/>
      <c r="D86" s="347" t="s">
        <v>9</v>
      </c>
      <c r="E86" s="347"/>
      <c r="F86" s="347" t="s">
        <v>9</v>
      </c>
      <c r="G86" s="347"/>
    </row>
  </sheetData>
  <protectedRanges>
    <protectedRange sqref="E28:F28 E18:F20 E11:F17" name="Range1"/>
    <protectedRange sqref="E9:E10 E26" name="Range1_1_1_1_1"/>
    <protectedRange sqref="E7:G7 E25:G25 G27 E33:F34 G29:G34" name="Range1_1_1_1_2"/>
    <protectedRange sqref="C4:C5" name="Range1_1_1_2"/>
  </protectedRanges>
  <mergeCells count="90">
    <mergeCell ref="B63:D63"/>
    <mergeCell ref="B36:G36"/>
    <mergeCell ref="I54:I55"/>
    <mergeCell ref="B43:D43"/>
    <mergeCell ref="B51:D51"/>
    <mergeCell ref="B47:D47"/>
    <mergeCell ref="B48:D48"/>
    <mergeCell ref="B45:D45"/>
    <mergeCell ref="B61:D61"/>
    <mergeCell ref="B62:D62"/>
    <mergeCell ref="J35:K35"/>
    <mergeCell ref="B60:D60"/>
    <mergeCell ref="B71:D71"/>
    <mergeCell ref="B66:D66"/>
    <mergeCell ref="B69:G69"/>
    <mergeCell ref="B70:D70"/>
    <mergeCell ref="G54:H54"/>
    <mergeCell ref="E54:E55"/>
    <mergeCell ref="B54:D55"/>
    <mergeCell ref="F54:F55"/>
    <mergeCell ref="B59:D59"/>
    <mergeCell ref="B56:D56"/>
    <mergeCell ref="G67:H67"/>
    <mergeCell ref="B58:D58"/>
    <mergeCell ref="B64:D64"/>
    <mergeCell ref="B65:D65"/>
    <mergeCell ref="B20:F20"/>
    <mergeCell ref="A58:A59"/>
    <mergeCell ref="A54:A55"/>
    <mergeCell ref="B49:D49"/>
    <mergeCell ref="B50:D50"/>
    <mergeCell ref="B57:D57"/>
    <mergeCell ref="A21:A24"/>
    <mergeCell ref="B24:F24"/>
    <mergeCell ref="B29:F29"/>
    <mergeCell ref="B27:F27"/>
    <mergeCell ref="B30:F30"/>
    <mergeCell ref="B31:F31"/>
    <mergeCell ref="B26:F26"/>
    <mergeCell ref="B33:F33"/>
    <mergeCell ref="B37:D37"/>
    <mergeCell ref="B46:D46"/>
    <mergeCell ref="A84:G84"/>
    <mergeCell ref="D85:E85"/>
    <mergeCell ref="F85:G85"/>
    <mergeCell ref="D86:E86"/>
    <mergeCell ref="F86:G86"/>
    <mergeCell ref="A83:G83"/>
    <mergeCell ref="B72:D72"/>
    <mergeCell ref="B73:D73"/>
    <mergeCell ref="B77:D77"/>
    <mergeCell ref="B74:D74"/>
    <mergeCell ref="B75:D75"/>
    <mergeCell ref="B76:D76"/>
    <mergeCell ref="B81:D81"/>
    <mergeCell ref="B78:D78"/>
    <mergeCell ref="B80:D80"/>
    <mergeCell ref="B79:D79"/>
    <mergeCell ref="B14:F14"/>
    <mergeCell ref="B34:F34"/>
    <mergeCell ref="B44:D44"/>
    <mergeCell ref="B53:G53"/>
    <mergeCell ref="B38:D38"/>
    <mergeCell ref="B39:D39"/>
    <mergeCell ref="B40:D40"/>
    <mergeCell ref="B41:D41"/>
    <mergeCell ref="B42:D42"/>
    <mergeCell ref="B32:F32"/>
    <mergeCell ref="B28:F28"/>
    <mergeCell ref="B19:F19"/>
    <mergeCell ref="B23:F23"/>
    <mergeCell ref="B21:F21"/>
    <mergeCell ref="B22:F22"/>
    <mergeCell ref="B25:F25"/>
    <mergeCell ref="B9:F9"/>
    <mergeCell ref="B15:F15"/>
    <mergeCell ref="B18:F18"/>
    <mergeCell ref="B10:F10"/>
    <mergeCell ref="A1:G1"/>
    <mergeCell ref="A2:G2"/>
    <mergeCell ref="B7:F7"/>
    <mergeCell ref="B8:F8"/>
    <mergeCell ref="B3:D3"/>
    <mergeCell ref="C4:D4"/>
    <mergeCell ref="C5:D5"/>
    <mergeCell ref="C6:D6"/>
    <mergeCell ref="A11:A13"/>
    <mergeCell ref="B11:F11"/>
    <mergeCell ref="B12:F12"/>
    <mergeCell ref="B13:F13"/>
  </mergeCells>
  <phoneticPr fontId="10" type="noConversion"/>
  <dataValidations count="5">
    <dataValidation type="list" allowBlank="1" showInputMessage="1" showErrorMessage="1" sqref="G28" xr:uid="{00000000-0002-0000-0100-000000000000}">
      <formula1>"0,0,15%,0,2%,0,25%"</formula1>
    </dataValidation>
    <dataValidation type="list" allowBlank="1" showInputMessage="1" showErrorMessage="1" sqref="G13" xr:uid="{00000000-0002-0000-0100-000001000000}">
      <formula1>"0,10.5%"</formula1>
    </dataValidation>
    <dataValidation type="list" allowBlank="1" showInputMessage="1" showErrorMessage="1" sqref="G11" xr:uid="{00000000-0002-0000-0100-000002000000}">
      <formula1>"0,3.5%"</formula1>
    </dataValidation>
    <dataValidation type="list" allowBlank="1" showInputMessage="1" showErrorMessage="1" sqref="C6" xr:uid="{00000000-0002-0000-0100-000003000000}">
      <formula1>"Hoàn thiện,Thô xây luôn,Giãn xây"</formula1>
    </dataValidation>
    <dataValidation type="list" allowBlank="1" showInputMessage="1" showErrorMessage="1" sqref="G15" xr:uid="{00000000-0002-0000-0100-000004000000}">
      <mc:AlternateContent xmlns:x12ac="http://schemas.microsoft.com/office/spreadsheetml/2011/1/ac" xmlns:mc="http://schemas.openxmlformats.org/markup-compatibility/2006">
        <mc:Choice Requires="x12ac">
          <x12ac:list>"0,15%"</x12ac:list>
        </mc:Choice>
        <mc:Fallback>
          <formula1>"0,15%"</formula1>
        </mc:Fallback>
      </mc:AlternateContent>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0"/>
  <sheetViews>
    <sheetView workbookViewId="0">
      <pane ySplit="1" topLeftCell="A32" activePane="bottomLeft" state="frozen"/>
      <selection pane="bottomLeft" activeCell="A64" sqref="A64"/>
    </sheetView>
  </sheetViews>
  <sheetFormatPr baseColWidth="10" defaultColWidth="8.83203125" defaultRowHeight="15" x14ac:dyDescent="0.2"/>
  <cols>
    <col min="1" max="1" width="15.1640625" customWidth="1"/>
    <col min="2" max="2" width="17.83203125" customWidth="1"/>
    <col min="3" max="4" width="14.6640625" customWidth="1"/>
    <col min="5" max="5" width="14.83203125" customWidth="1"/>
    <col min="6" max="6" width="13.1640625" customWidth="1"/>
    <col min="7" max="7" width="14" customWidth="1"/>
    <col min="8" max="8" width="16.5" customWidth="1"/>
    <col min="9" max="9" width="12.5" bestFit="1" customWidth="1"/>
    <col min="10" max="10" width="19.6640625" customWidth="1"/>
    <col min="11" max="11" width="12.1640625" style="239" bestFit="1" customWidth="1"/>
  </cols>
  <sheetData>
    <row r="1" spans="1:11" x14ac:dyDescent="0.2">
      <c r="A1" s="232" t="s">
        <v>126</v>
      </c>
      <c r="B1" s="232" t="s">
        <v>127</v>
      </c>
      <c r="C1" s="232" t="s">
        <v>128</v>
      </c>
      <c r="D1" s="232" t="s">
        <v>32</v>
      </c>
      <c r="E1" s="232" t="s">
        <v>151</v>
      </c>
      <c r="F1" s="232" t="s">
        <v>149</v>
      </c>
      <c r="G1" s="232" t="s">
        <v>150</v>
      </c>
      <c r="H1" s="232" t="s">
        <v>154</v>
      </c>
      <c r="I1" s="232" t="s">
        <v>155</v>
      </c>
      <c r="J1" s="234" t="s">
        <v>161</v>
      </c>
    </row>
    <row r="2" spans="1:11" x14ac:dyDescent="0.2">
      <c r="A2" s="232" t="s">
        <v>129</v>
      </c>
      <c r="B2" s="232">
        <v>18068853386</v>
      </c>
      <c r="C2" s="232">
        <v>1422548754</v>
      </c>
      <c r="D2" s="232">
        <v>90344267</v>
      </c>
      <c r="E2" s="232">
        <v>19581746407</v>
      </c>
      <c r="F2" s="231"/>
      <c r="G2" s="231"/>
      <c r="H2" s="232" t="e">
        <f>B2/G2</f>
        <v>#DIV/0!</v>
      </c>
      <c r="I2" s="232" t="e">
        <f>C2/H2</f>
        <v>#DIV/0!</v>
      </c>
      <c r="J2" s="234"/>
    </row>
    <row r="3" spans="1:11" x14ac:dyDescent="0.2">
      <c r="A3" s="232" t="s">
        <v>130</v>
      </c>
      <c r="B3" s="232">
        <v>17915153317</v>
      </c>
      <c r="C3" s="232">
        <v>1407178743</v>
      </c>
      <c r="D3" s="232">
        <v>89575766</v>
      </c>
      <c r="E3" s="232">
        <v>19411907826</v>
      </c>
      <c r="F3" s="231"/>
      <c r="G3" s="231"/>
      <c r="H3" s="232" t="e">
        <f t="shared" ref="H3:I25" si="0">B3/G3</f>
        <v>#DIV/0!</v>
      </c>
      <c r="I3" s="232" t="e">
        <f t="shared" si="0"/>
        <v>#DIV/0!</v>
      </c>
      <c r="J3" s="234"/>
    </row>
    <row r="4" spans="1:11" x14ac:dyDescent="0.2">
      <c r="A4" s="232" t="s">
        <v>131</v>
      </c>
      <c r="B4" s="232">
        <v>25425846855</v>
      </c>
      <c r="C4" s="232">
        <v>2062163966</v>
      </c>
      <c r="D4" s="232">
        <v>119579673</v>
      </c>
      <c r="E4" s="232">
        <v>27607590494</v>
      </c>
      <c r="F4" s="231">
        <v>120</v>
      </c>
      <c r="G4" s="231">
        <v>314</v>
      </c>
      <c r="H4" s="232">
        <f t="shared" si="0"/>
        <v>80974034.570063695</v>
      </c>
      <c r="I4" s="232">
        <f t="shared" si="0"/>
        <v>25.46697811155364</v>
      </c>
      <c r="J4" s="235">
        <v>46075</v>
      </c>
    </row>
    <row r="5" spans="1:11" x14ac:dyDescent="0.2">
      <c r="A5" s="232" t="s">
        <v>132</v>
      </c>
      <c r="B5" s="232">
        <v>24764567356</v>
      </c>
      <c r="C5" s="232">
        <v>1996036016</v>
      </c>
      <c r="D5" s="232">
        <v>116433943</v>
      </c>
      <c r="E5" s="232">
        <v>26877037315</v>
      </c>
      <c r="F5" s="231">
        <v>120</v>
      </c>
      <c r="G5" s="231">
        <v>358.6</v>
      </c>
      <c r="H5" s="232">
        <f t="shared" si="0"/>
        <v>69059027.763524815</v>
      </c>
      <c r="I5" s="232">
        <f t="shared" si="0"/>
        <v>28.903332129651766</v>
      </c>
      <c r="J5" s="235">
        <v>46075</v>
      </c>
    </row>
    <row r="6" spans="1:11" x14ac:dyDescent="0.2">
      <c r="A6" s="232" t="s">
        <v>133</v>
      </c>
      <c r="B6" s="232">
        <v>33602443812</v>
      </c>
      <c r="C6" s="232">
        <v>2815767565</v>
      </c>
      <c r="D6" s="232">
        <v>160060792</v>
      </c>
      <c r="E6" s="232">
        <v>36578272169</v>
      </c>
      <c r="F6" s="231">
        <v>136</v>
      </c>
      <c r="G6" s="231">
        <v>430</v>
      </c>
      <c r="H6" s="232">
        <f t="shared" si="0"/>
        <v>78145218.16744186</v>
      </c>
      <c r="I6" s="232">
        <f t="shared" si="0"/>
        <v>36.032499889713677</v>
      </c>
      <c r="J6" s="235">
        <v>46137</v>
      </c>
    </row>
    <row r="7" spans="1:11" x14ac:dyDescent="0.2">
      <c r="A7" s="232" t="s">
        <v>134</v>
      </c>
      <c r="B7" s="232">
        <v>50120332289</v>
      </c>
      <c r="C7" s="232">
        <v>4099233861</v>
      </c>
      <c r="D7" s="232">
        <v>240323352</v>
      </c>
      <c r="E7" s="232">
        <v>54459889502</v>
      </c>
      <c r="F7" s="231">
        <v>228</v>
      </c>
      <c r="G7" s="231">
        <v>484.6</v>
      </c>
      <c r="H7" s="232">
        <f t="shared" si="0"/>
        <v>103426191.2690879</v>
      </c>
      <c r="I7" s="232">
        <f t="shared" si="0"/>
        <v>39.634388646632708</v>
      </c>
      <c r="J7" s="235">
        <v>46137</v>
      </c>
    </row>
    <row r="8" spans="1:11" x14ac:dyDescent="0.2">
      <c r="A8" s="232" t="s">
        <v>175</v>
      </c>
      <c r="B8" s="232">
        <v>23283576082</v>
      </c>
      <c r="C8" s="232">
        <v>1847936888</v>
      </c>
      <c r="D8" s="232">
        <v>111835028</v>
      </c>
      <c r="E8" s="232">
        <v>25243347998</v>
      </c>
      <c r="F8" s="231">
        <v>120</v>
      </c>
      <c r="G8" s="231">
        <v>358.6</v>
      </c>
      <c r="H8" s="232">
        <f t="shared" si="0"/>
        <v>64929102.292247623</v>
      </c>
      <c r="I8" s="232">
        <f t="shared" si="0"/>
        <v>28.460841483413503</v>
      </c>
      <c r="J8" s="235">
        <v>46075</v>
      </c>
    </row>
    <row r="9" spans="1:11" x14ac:dyDescent="0.2">
      <c r="A9" s="232" t="s">
        <v>176</v>
      </c>
      <c r="B9" s="232">
        <v>23283576082</v>
      </c>
      <c r="C9" s="232">
        <v>1847936888</v>
      </c>
      <c r="D9" s="232">
        <v>111835028</v>
      </c>
      <c r="E9" s="232">
        <v>25243347998</v>
      </c>
      <c r="F9" s="231">
        <v>120</v>
      </c>
      <c r="G9" s="231">
        <v>358.6</v>
      </c>
      <c r="H9" s="232">
        <f t="shared" si="0"/>
        <v>64929102.292247623</v>
      </c>
      <c r="I9" s="232">
        <f t="shared" si="0"/>
        <v>28.460841483413503</v>
      </c>
      <c r="J9" s="235">
        <v>46075</v>
      </c>
      <c r="K9" s="239">
        <v>700000000</v>
      </c>
    </row>
    <row r="10" spans="1:11" x14ac:dyDescent="0.2">
      <c r="A10" s="232" t="s">
        <v>135</v>
      </c>
      <c r="B10" s="232">
        <v>30614416103</v>
      </c>
      <c r="C10" s="232">
        <v>2548992825</v>
      </c>
      <c r="D10" s="232">
        <v>153072081</v>
      </c>
      <c r="E10" s="232">
        <v>33316481009</v>
      </c>
      <c r="F10" s="231"/>
      <c r="G10" s="231"/>
      <c r="H10" s="232" t="e">
        <f t="shared" si="0"/>
        <v>#DIV/0!</v>
      </c>
      <c r="I10" s="232" t="e">
        <f t="shared" si="0"/>
        <v>#DIV/0!</v>
      </c>
      <c r="J10" s="234"/>
    </row>
    <row r="11" spans="1:11" x14ac:dyDescent="0.2">
      <c r="A11" s="232" t="s">
        <v>136</v>
      </c>
      <c r="B11" s="232">
        <v>16300256885</v>
      </c>
      <c r="C11" s="232">
        <v>1245689116</v>
      </c>
      <c r="D11" s="232">
        <v>0</v>
      </c>
      <c r="E11" s="232">
        <v>17545946001</v>
      </c>
      <c r="F11" s="231"/>
      <c r="G11" s="231"/>
      <c r="H11" s="232" t="e">
        <f t="shared" si="0"/>
        <v>#DIV/0!</v>
      </c>
      <c r="I11" s="232" t="e">
        <f t="shared" si="0"/>
        <v>#DIV/0!</v>
      </c>
      <c r="J11" s="234"/>
    </row>
    <row r="12" spans="1:11" x14ac:dyDescent="0.2">
      <c r="A12" s="232" t="s">
        <v>137</v>
      </c>
      <c r="B12" s="232">
        <v>2258400000</v>
      </c>
      <c r="C12" s="232">
        <v>225840000</v>
      </c>
      <c r="D12" s="232">
        <v>92793285</v>
      </c>
      <c r="E12" s="232">
        <v>2484240000</v>
      </c>
      <c r="F12" s="231"/>
      <c r="G12" s="231"/>
      <c r="H12" s="232" t="e">
        <f t="shared" si="0"/>
        <v>#DIV/0!</v>
      </c>
      <c r="I12" s="232" t="e">
        <f t="shared" si="0"/>
        <v>#DIV/0!</v>
      </c>
      <c r="J12" s="234"/>
    </row>
    <row r="13" spans="1:11" x14ac:dyDescent="0.2">
      <c r="A13" s="232" t="s">
        <v>138</v>
      </c>
      <c r="B13" s="232">
        <v>22437596320</v>
      </c>
      <c r="C13" s="232">
        <v>1859423057</v>
      </c>
      <c r="D13" s="232">
        <v>112187982</v>
      </c>
      <c r="E13" s="232">
        <v>24409207359</v>
      </c>
      <c r="F13" s="231"/>
      <c r="G13" s="231"/>
      <c r="H13" s="232" t="e">
        <f t="shared" si="0"/>
        <v>#DIV/0!</v>
      </c>
      <c r="I13" s="232" t="e">
        <f t="shared" si="0"/>
        <v>#DIV/0!</v>
      </c>
      <c r="J13" s="234"/>
    </row>
    <row r="14" spans="1:11" x14ac:dyDescent="0.2">
      <c r="A14" s="232" t="s">
        <v>174</v>
      </c>
      <c r="B14" s="232">
        <v>41093175314</v>
      </c>
      <c r="C14" s="232">
        <v>3196518163</v>
      </c>
      <c r="D14" s="232">
        <v>202646463</v>
      </c>
      <c r="E14" s="232">
        <v>44492339940</v>
      </c>
      <c r="F14" s="231"/>
      <c r="G14" s="231"/>
      <c r="H14" s="232" t="e">
        <f t="shared" si="0"/>
        <v>#DIV/0!</v>
      </c>
      <c r="I14" s="232" t="e">
        <f t="shared" si="0"/>
        <v>#DIV/0!</v>
      </c>
      <c r="J14" s="234"/>
    </row>
    <row r="15" spans="1:11" x14ac:dyDescent="0.2">
      <c r="A15" s="232" t="s">
        <v>139</v>
      </c>
      <c r="B15" s="232">
        <v>17964157593</v>
      </c>
      <c r="C15" s="232">
        <v>1412079192</v>
      </c>
      <c r="D15" s="232">
        <v>89820788</v>
      </c>
      <c r="E15" s="232">
        <v>19466057573</v>
      </c>
      <c r="F15" s="231"/>
      <c r="G15" s="231"/>
      <c r="H15" s="232" t="e">
        <f t="shared" si="0"/>
        <v>#DIV/0!</v>
      </c>
      <c r="I15" s="232" t="e">
        <f t="shared" si="0"/>
        <v>#DIV/0!</v>
      </c>
      <c r="J15" s="234"/>
    </row>
    <row r="16" spans="1:11" x14ac:dyDescent="0.2">
      <c r="A16" s="232" t="s">
        <v>140</v>
      </c>
      <c r="B16" s="232">
        <v>18174006998</v>
      </c>
      <c r="C16" s="232">
        <v>1427138925</v>
      </c>
      <c r="D16" s="232">
        <v>90870035</v>
      </c>
      <c r="E16" s="232">
        <v>19692015958</v>
      </c>
      <c r="F16" s="231"/>
      <c r="G16" s="231"/>
      <c r="H16" s="232" t="e">
        <f t="shared" si="0"/>
        <v>#DIV/0!</v>
      </c>
      <c r="I16" s="232" t="e">
        <f t="shared" si="0"/>
        <v>#DIV/0!</v>
      </c>
      <c r="J16" s="234"/>
    </row>
    <row r="17" spans="1:10" x14ac:dyDescent="0.2">
      <c r="A17" s="232" t="s">
        <v>141</v>
      </c>
      <c r="B17" s="232">
        <v>15845759150</v>
      </c>
      <c r="C17" s="232">
        <v>1200239338</v>
      </c>
      <c r="D17" s="232">
        <v>0</v>
      </c>
      <c r="E17" s="232">
        <v>17045998488</v>
      </c>
      <c r="F17" s="231"/>
      <c r="G17" s="231"/>
      <c r="H17" s="232" t="e">
        <f t="shared" si="0"/>
        <v>#DIV/0!</v>
      </c>
      <c r="I17" s="232" t="e">
        <f t="shared" si="0"/>
        <v>#DIV/0!</v>
      </c>
      <c r="J17" s="234"/>
    </row>
    <row r="18" spans="1:10" x14ac:dyDescent="0.2">
      <c r="A18" s="232" t="s">
        <v>142</v>
      </c>
      <c r="B18" s="232">
        <v>19821465577</v>
      </c>
      <c r="C18" s="232">
        <v>1508411699</v>
      </c>
      <c r="D18" s="232">
        <v>0</v>
      </c>
      <c r="E18" s="232">
        <v>21329877276</v>
      </c>
      <c r="F18" s="231"/>
      <c r="G18" s="231"/>
      <c r="H18" s="232" t="e">
        <f t="shared" si="0"/>
        <v>#DIV/0!</v>
      </c>
      <c r="I18" s="232" t="e">
        <f t="shared" si="0"/>
        <v>#DIV/0!</v>
      </c>
      <c r="J18" s="234"/>
    </row>
    <row r="19" spans="1:10" x14ac:dyDescent="0.2">
      <c r="A19" s="232" t="s">
        <v>143</v>
      </c>
      <c r="B19" s="232">
        <v>20569604572</v>
      </c>
      <c r="C19" s="232">
        <v>1504476635</v>
      </c>
      <c r="D19" s="232">
        <v>0</v>
      </c>
      <c r="E19" s="232">
        <v>22074081207</v>
      </c>
      <c r="F19" s="231"/>
      <c r="G19" s="231"/>
      <c r="H19" s="232" t="e">
        <f t="shared" si="0"/>
        <v>#DIV/0!</v>
      </c>
      <c r="I19" s="232" t="e">
        <f t="shared" si="0"/>
        <v>#DIV/0!</v>
      </c>
      <c r="J19" s="234"/>
    </row>
    <row r="20" spans="1:10" x14ac:dyDescent="0.2">
      <c r="A20" s="232" t="s">
        <v>144</v>
      </c>
      <c r="B20" s="232">
        <v>15860832846</v>
      </c>
      <c r="C20" s="232">
        <v>1201746711</v>
      </c>
      <c r="D20" s="232">
        <v>0</v>
      </c>
      <c r="E20" s="232">
        <v>17062579557</v>
      </c>
      <c r="F20" s="231"/>
      <c r="G20" s="231"/>
      <c r="H20" s="232" t="e">
        <f t="shared" si="0"/>
        <v>#DIV/0!</v>
      </c>
      <c r="I20" s="232" t="e">
        <f t="shared" si="0"/>
        <v>#DIV/0!</v>
      </c>
      <c r="J20" s="234"/>
    </row>
    <row r="21" spans="1:10" x14ac:dyDescent="0.2">
      <c r="A21" s="232" t="s">
        <v>145</v>
      </c>
      <c r="B21" s="232">
        <v>2386400000</v>
      </c>
      <c r="C21" s="232">
        <v>238640000</v>
      </c>
      <c r="D21" s="232">
        <v>91160795</v>
      </c>
      <c r="E21" s="232">
        <v>2625040000</v>
      </c>
      <c r="F21" s="231"/>
      <c r="G21" s="231"/>
      <c r="H21" s="232" t="e">
        <f t="shared" si="0"/>
        <v>#DIV/0!</v>
      </c>
      <c r="I21" s="232" t="e">
        <f t="shared" si="0"/>
        <v>#DIV/0!</v>
      </c>
      <c r="J21" s="234"/>
    </row>
    <row r="22" spans="1:10" x14ac:dyDescent="0.2">
      <c r="A22" s="232" t="s">
        <v>146</v>
      </c>
      <c r="B22" s="232">
        <v>2085600000</v>
      </c>
      <c r="C22" s="232">
        <v>208560000</v>
      </c>
      <c r="D22" s="232">
        <v>109535328</v>
      </c>
      <c r="E22" s="232">
        <v>2294160000</v>
      </c>
      <c r="F22" s="231"/>
      <c r="G22" s="231"/>
      <c r="H22" s="232" t="e">
        <f t="shared" si="0"/>
        <v>#DIV/0!</v>
      </c>
      <c r="I22" s="232" t="e">
        <f t="shared" si="0"/>
        <v>#DIV/0!</v>
      </c>
      <c r="J22" s="234"/>
    </row>
    <row r="23" spans="1:10" x14ac:dyDescent="0.2">
      <c r="A23" s="232" t="s">
        <v>147</v>
      </c>
      <c r="B23" s="232">
        <v>2236800000</v>
      </c>
      <c r="C23" s="232">
        <v>223680000</v>
      </c>
      <c r="D23" s="232">
        <v>114032023</v>
      </c>
      <c r="E23" s="232">
        <v>2460480000</v>
      </c>
      <c r="F23" s="231"/>
      <c r="G23" s="231"/>
      <c r="H23" s="232" t="e">
        <f t="shared" si="0"/>
        <v>#DIV/0!</v>
      </c>
      <c r="I23" s="232" t="e">
        <f t="shared" si="0"/>
        <v>#DIV/0!</v>
      </c>
      <c r="J23" s="234"/>
    </row>
    <row r="24" spans="1:10" x14ac:dyDescent="0.2">
      <c r="A24" s="232" t="s">
        <v>148</v>
      </c>
      <c r="B24" s="232">
        <v>2258400000</v>
      </c>
      <c r="C24" s="232">
        <v>225840000</v>
      </c>
      <c r="D24" s="232">
        <v>90596165</v>
      </c>
      <c r="E24" s="232">
        <v>2484240000</v>
      </c>
      <c r="F24" s="231"/>
      <c r="G24" s="231"/>
      <c r="H24" s="232" t="e">
        <f t="shared" si="0"/>
        <v>#DIV/0!</v>
      </c>
      <c r="I24" s="232" t="e">
        <f t="shared" si="0"/>
        <v>#DIV/0!</v>
      </c>
      <c r="J24" s="234"/>
    </row>
    <row r="25" spans="1:10" x14ac:dyDescent="0.2">
      <c r="A25" s="232" t="s">
        <v>153</v>
      </c>
      <c r="B25" s="232">
        <v>40042219425</v>
      </c>
      <c r="C25" s="232">
        <v>3091422575</v>
      </c>
      <c r="D25" s="232">
        <v>219815097</v>
      </c>
      <c r="E25" s="232">
        <v>47666337097</v>
      </c>
      <c r="F25" s="231">
        <v>228</v>
      </c>
      <c r="G25" s="231">
        <v>490.1</v>
      </c>
      <c r="H25" s="232">
        <f t="shared" si="0"/>
        <v>81702141.246684343</v>
      </c>
      <c r="I25" s="232">
        <f>B25/F25</f>
        <v>175623769.40789473</v>
      </c>
      <c r="J25" s="234"/>
    </row>
    <row r="26" spans="1:10" x14ac:dyDescent="0.2">
      <c r="A26" s="234" t="s">
        <v>162</v>
      </c>
      <c r="B26" s="232">
        <v>18414751243</v>
      </c>
      <c r="C26" s="232">
        <v>1457138548</v>
      </c>
      <c r="D26" s="232">
        <v>90934799</v>
      </c>
      <c r="E26" s="232">
        <f>SUM(B26+C26+D26)</f>
        <v>19962824590</v>
      </c>
      <c r="F26" s="234">
        <v>96</v>
      </c>
      <c r="G26" s="234">
        <v>278.8</v>
      </c>
      <c r="H26" s="232">
        <f t="shared" ref="H26:H35" si="1">B26/G26</f>
        <v>66050040.326398849</v>
      </c>
      <c r="I26" s="232">
        <f t="shared" ref="I26:I35" si="2">B26/F26</f>
        <v>191820325.44791666</v>
      </c>
      <c r="J26" s="235">
        <v>46122</v>
      </c>
    </row>
    <row r="27" spans="1:10" x14ac:dyDescent="0.2">
      <c r="A27" s="234" t="s">
        <v>163</v>
      </c>
      <c r="B27" s="232">
        <v>18377006399</v>
      </c>
      <c r="C27" s="232">
        <v>1453364064</v>
      </c>
      <c r="D27" s="232">
        <v>90975279</v>
      </c>
      <c r="E27" s="232">
        <f>SUM(B27+C27+D27)</f>
        <v>19921345742</v>
      </c>
      <c r="F27" s="234">
        <v>96</v>
      </c>
      <c r="G27" s="234">
        <v>279</v>
      </c>
      <c r="H27" s="232">
        <f t="shared" si="1"/>
        <v>65867406.448028676</v>
      </c>
      <c r="I27" s="232">
        <f t="shared" si="2"/>
        <v>191427149.98958334</v>
      </c>
      <c r="J27" s="235">
        <v>46075</v>
      </c>
    </row>
    <row r="28" spans="1:10" x14ac:dyDescent="0.2">
      <c r="A28" s="234" t="s">
        <v>164</v>
      </c>
      <c r="B28" s="232">
        <v>19148220550</v>
      </c>
      <c r="C28" s="232">
        <v>1530485479</v>
      </c>
      <c r="D28" s="232">
        <v>94580399</v>
      </c>
      <c r="E28" s="232">
        <f t="shared" ref="E28:E34" si="3">SUM(B28+C28+D28)</f>
        <v>20773286428</v>
      </c>
      <c r="F28" s="234">
        <v>96</v>
      </c>
      <c r="G28" s="234">
        <v>278.60000000000002</v>
      </c>
      <c r="H28" s="232">
        <f t="shared" si="1"/>
        <v>68730152.72792533</v>
      </c>
      <c r="I28" s="232">
        <f t="shared" si="2"/>
        <v>199460630.72916666</v>
      </c>
      <c r="J28" s="235">
        <v>46122</v>
      </c>
    </row>
    <row r="29" spans="1:10" x14ac:dyDescent="0.2">
      <c r="A29" s="234" t="s">
        <v>166</v>
      </c>
      <c r="B29" s="232">
        <v>19798972163</v>
      </c>
      <c r="C29" s="232">
        <v>1595560640</v>
      </c>
      <c r="D29" s="232">
        <v>96752462</v>
      </c>
      <c r="E29" s="232">
        <f t="shared" si="3"/>
        <v>21491285265</v>
      </c>
      <c r="F29" s="234">
        <v>96</v>
      </c>
      <c r="G29" s="234">
        <v>278.60000000000002</v>
      </c>
      <c r="H29" s="232">
        <f t="shared" si="1"/>
        <v>71065944.590811193</v>
      </c>
      <c r="I29" s="232">
        <f t="shared" si="2"/>
        <v>206239293.36458334</v>
      </c>
      <c r="J29" s="235">
        <v>46122</v>
      </c>
    </row>
    <row r="30" spans="1:10" x14ac:dyDescent="0.2">
      <c r="A30" s="234" t="s">
        <v>167</v>
      </c>
      <c r="B30" s="232">
        <v>25190987454</v>
      </c>
      <c r="C30" s="232">
        <v>2038678025</v>
      </c>
      <c r="D30" s="232">
        <v>122066397</v>
      </c>
      <c r="E30" s="232">
        <f t="shared" si="3"/>
        <v>27351731876</v>
      </c>
      <c r="F30" s="234">
        <v>120</v>
      </c>
      <c r="G30" s="234">
        <v>343</v>
      </c>
      <c r="H30" s="232">
        <f t="shared" si="1"/>
        <v>73443112.110787168</v>
      </c>
      <c r="I30" s="232">
        <f t="shared" si="2"/>
        <v>209924895.44999999</v>
      </c>
      <c r="J30" s="235">
        <v>46075</v>
      </c>
    </row>
    <row r="31" spans="1:10" x14ac:dyDescent="0.2">
      <c r="A31" s="234" t="s">
        <v>168</v>
      </c>
      <c r="B31" s="232">
        <v>18614837288</v>
      </c>
      <c r="C31" s="232">
        <f>E31-D31-B31</f>
        <v>1477147153</v>
      </c>
      <c r="D31" s="232">
        <v>92064068</v>
      </c>
      <c r="E31" s="232">
        <v>20184048509</v>
      </c>
      <c r="F31" s="234">
        <v>96</v>
      </c>
      <c r="G31" s="234">
        <v>278.60000000000002</v>
      </c>
      <c r="H31" s="232">
        <f t="shared" si="1"/>
        <v>66815639.942569986</v>
      </c>
      <c r="I31" s="232">
        <f t="shared" si="2"/>
        <v>193904555.08333334</v>
      </c>
      <c r="J31" s="235">
        <v>46125</v>
      </c>
    </row>
    <row r="32" spans="1:10" x14ac:dyDescent="0.2">
      <c r="A32" s="234" t="s">
        <v>169</v>
      </c>
      <c r="B32" s="232">
        <v>18398250088</v>
      </c>
      <c r="C32" s="232">
        <v>1423460377</v>
      </c>
      <c r="D32" s="232">
        <v>88080478</v>
      </c>
      <c r="E32" s="232">
        <f t="shared" si="3"/>
        <v>19909790943</v>
      </c>
      <c r="F32" s="234">
        <v>104</v>
      </c>
      <c r="G32" s="234">
        <v>298.3</v>
      </c>
      <c r="H32" s="232">
        <f t="shared" si="1"/>
        <v>61677003.312101908</v>
      </c>
      <c r="I32" s="232">
        <f t="shared" si="2"/>
        <v>176906250.84615386</v>
      </c>
      <c r="J32" s="235">
        <v>46137</v>
      </c>
    </row>
    <row r="33" spans="1:11" x14ac:dyDescent="0.2">
      <c r="A33" s="234" t="s">
        <v>172</v>
      </c>
      <c r="B33" s="232">
        <v>20339308464</v>
      </c>
      <c r="C33" s="232">
        <v>1617566222</v>
      </c>
      <c r="D33" s="232">
        <v>97518736</v>
      </c>
      <c r="E33" s="232">
        <f t="shared" si="3"/>
        <v>22054393422</v>
      </c>
      <c r="F33" s="234">
        <v>104</v>
      </c>
      <c r="G33" s="234">
        <v>294.8</v>
      </c>
      <c r="H33" s="232">
        <f t="shared" si="1"/>
        <v>68993583.663500682</v>
      </c>
      <c r="I33" s="232">
        <f t="shared" si="2"/>
        <v>195570273.69230768</v>
      </c>
      <c r="J33" s="235">
        <v>46105</v>
      </c>
    </row>
    <row r="34" spans="1:11" x14ac:dyDescent="0.2">
      <c r="A34" s="234" t="s">
        <v>170</v>
      </c>
      <c r="B34" s="232">
        <v>18761128303</v>
      </c>
      <c r="C34" s="232">
        <v>1491776254</v>
      </c>
      <c r="D34" s="232">
        <v>92788281</v>
      </c>
      <c r="E34" s="232">
        <f t="shared" si="3"/>
        <v>20345692838</v>
      </c>
      <c r="F34" s="234">
        <v>96</v>
      </c>
      <c r="G34" s="234">
        <v>278.8</v>
      </c>
      <c r="H34" s="232">
        <f t="shared" si="1"/>
        <v>67292425.763988525</v>
      </c>
      <c r="I34" s="232">
        <f t="shared" si="2"/>
        <v>195428419.82291666</v>
      </c>
      <c r="J34" s="235">
        <v>46125</v>
      </c>
    </row>
    <row r="35" spans="1:11" x14ac:dyDescent="0.2">
      <c r="A35" s="234" t="s">
        <v>171</v>
      </c>
      <c r="B35" s="232">
        <v>18741275856</v>
      </c>
      <c r="C35" s="232">
        <f>E35-D35-B35</f>
        <v>1489791010</v>
      </c>
      <c r="D35" s="232">
        <v>92778593</v>
      </c>
      <c r="E35" s="232">
        <v>20323845459</v>
      </c>
      <c r="F35" s="234">
        <v>96</v>
      </c>
      <c r="G35" s="234">
        <v>278.60000000000002</v>
      </c>
      <c r="H35" s="232">
        <f t="shared" si="1"/>
        <v>67269475.43431443</v>
      </c>
      <c r="I35" s="232">
        <f t="shared" si="2"/>
        <v>195221623.5</v>
      </c>
      <c r="J35" s="235">
        <v>46125</v>
      </c>
    </row>
    <row r="36" spans="1:11" x14ac:dyDescent="0.2">
      <c r="A36" s="234" t="s">
        <v>177</v>
      </c>
      <c r="B36" s="237">
        <v>46845950519</v>
      </c>
      <c r="C36" s="237">
        <v>3771795684</v>
      </c>
      <c r="D36" s="237">
        <v>225637523</v>
      </c>
      <c r="E36" s="237">
        <f>SUM(B36:D36)</f>
        <v>50843383726</v>
      </c>
      <c r="F36" s="234">
        <v>228</v>
      </c>
      <c r="G36" s="234">
        <v>490.1</v>
      </c>
      <c r="H36" s="232">
        <f t="shared" ref="H36:H42" si="4">B36/G36</f>
        <v>95584473.61558865</v>
      </c>
      <c r="I36" s="232">
        <f t="shared" ref="I36:I42" si="5">B36/F36</f>
        <v>205464695.25877193</v>
      </c>
      <c r="J36" s="235">
        <v>46173</v>
      </c>
    </row>
    <row r="37" spans="1:11" x14ac:dyDescent="0.2">
      <c r="A37" s="234" t="s">
        <v>178</v>
      </c>
      <c r="B37" s="237">
        <v>33565911815</v>
      </c>
      <c r="C37" s="237">
        <v>2812114366</v>
      </c>
      <c r="D37" s="237">
        <v>159885270</v>
      </c>
      <c r="E37" s="237">
        <v>36537911451</v>
      </c>
      <c r="F37" s="234">
        <v>136</v>
      </c>
      <c r="G37" s="234">
        <v>426.3</v>
      </c>
      <c r="H37" s="232">
        <f t="shared" si="4"/>
        <v>78737771.088435367</v>
      </c>
      <c r="I37" s="232">
        <f t="shared" si="5"/>
        <v>246808175.1102941</v>
      </c>
      <c r="J37" s="235">
        <v>46137</v>
      </c>
      <c r="K37" s="239">
        <v>195000000</v>
      </c>
    </row>
    <row r="38" spans="1:11" x14ac:dyDescent="0.2">
      <c r="A38" s="234" t="s">
        <v>180</v>
      </c>
      <c r="B38" s="237">
        <v>24040722087</v>
      </c>
      <c r="C38" s="237">
        <v>1923651489</v>
      </c>
      <c r="D38" s="237">
        <v>116433943</v>
      </c>
      <c r="E38" s="237">
        <v>26080807519</v>
      </c>
      <c r="F38" s="234">
        <v>120</v>
      </c>
      <c r="G38" s="234">
        <v>358.6</v>
      </c>
      <c r="H38" s="232">
        <f t="shared" si="4"/>
        <v>67040496.617400996</v>
      </c>
      <c r="I38" s="232">
        <f t="shared" si="5"/>
        <v>200339350.72499999</v>
      </c>
      <c r="J38" s="235">
        <v>46075</v>
      </c>
    </row>
    <row r="39" spans="1:11" x14ac:dyDescent="0.2">
      <c r="A39" s="234" t="s">
        <v>182</v>
      </c>
      <c r="B39" s="237">
        <v>24483135776</v>
      </c>
      <c r="C39" s="237">
        <v>1967892858</v>
      </c>
      <c r="D39" s="237">
        <v>119193292</v>
      </c>
      <c r="E39" s="237">
        <v>26570221926</v>
      </c>
      <c r="F39" s="234">
        <v>120</v>
      </c>
      <c r="G39" s="234">
        <v>358.6</v>
      </c>
      <c r="H39" s="232">
        <f t="shared" si="4"/>
        <v>68274221.349693254</v>
      </c>
      <c r="I39" s="232">
        <f t="shared" si="5"/>
        <v>204026131.46666667</v>
      </c>
      <c r="J39" s="235">
        <v>46075</v>
      </c>
    </row>
    <row r="40" spans="1:11" x14ac:dyDescent="0.2">
      <c r="A40" s="234" t="s">
        <v>183</v>
      </c>
      <c r="B40" s="232">
        <v>37261869382</v>
      </c>
      <c r="C40" s="232">
        <v>2891856288</v>
      </c>
      <c r="D40" s="232">
        <v>187805066</v>
      </c>
      <c r="E40" s="237">
        <v>41244269382</v>
      </c>
      <c r="F40" s="234">
        <v>208.4</v>
      </c>
      <c r="G40" s="234">
        <v>497.8</v>
      </c>
      <c r="H40" s="232">
        <f t="shared" si="4"/>
        <v>74853092.370429888</v>
      </c>
      <c r="I40" s="232">
        <f t="shared" si="5"/>
        <v>178799757.11132437</v>
      </c>
      <c r="J40" s="235">
        <v>46765</v>
      </c>
    </row>
    <row r="41" spans="1:11" x14ac:dyDescent="0.2">
      <c r="A41" s="234" t="s">
        <v>184</v>
      </c>
      <c r="B41" s="237">
        <v>28406600191</v>
      </c>
      <c r="C41" s="237">
        <v>2360239299</v>
      </c>
      <c r="D41" s="237">
        <v>133759221</v>
      </c>
      <c r="E41" s="237">
        <f>SUM(B41:D41)</f>
        <v>30900598711</v>
      </c>
      <c r="F41" s="234">
        <v>120</v>
      </c>
      <c r="G41" s="234">
        <v>358.8</v>
      </c>
      <c r="H41" s="232">
        <f t="shared" si="4"/>
        <v>79171126.507803783</v>
      </c>
      <c r="I41" s="232">
        <f t="shared" si="5"/>
        <v>236721668.25833333</v>
      </c>
      <c r="J41" s="235">
        <v>46075</v>
      </c>
      <c r="K41" s="239">
        <v>700000000</v>
      </c>
    </row>
    <row r="42" spans="1:11" x14ac:dyDescent="0.2">
      <c r="A42" s="234" t="s">
        <v>181</v>
      </c>
      <c r="B42" s="237">
        <v>30801198883</v>
      </c>
      <c r="C42" s="237">
        <v>2599699168</v>
      </c>
      <c r="D42" s="237">
        <v>145876163</v>
      </c>
      <c r="E42" s="237">
        <f>SUM(B42:D42)</f>
        <v>33546774214</v>
      </c>
      <c r="F42" s="234">
        <v>120</v>
      </c>
      <c r="G42" s="234">
        <v>342.8</v>
      </c>
      <c r="H42" s="232">
        <f t="shared" si="4"/>
        <v>89851805.376312718</v>
      </c>
      <c r="I42" s="232">
        <f t="shared" si="5"/>
        <v>256676657.35833332</v>
      </c>
      <c r="J42" s="235">
        <v>46075</v>
      </c>
      <c r="K42" s="239">
        <v>700000000</v>
      </c>
    </row>
    <row r="43" spans="1:11" x14ac:dyDescent="0.2">
      <c r="A43" s="234" t="s">
        <v>185</v>
      </c>
      <c r="B43" s="237">
        <v>24411685715</v>
      </c>
      <c r="C43" s="237">
        <v>1923315070</v>
      </c>
      <c r="D43" s="237">
        <v>118841677</v>
      </c>
      <c r="E43" s="237">
        <f t="shared" ref="E43:E48" si="6">SUM(B43:D43)</f>
        <v>26453842462</v>
      </c>
      <c r="F43" s="234">
        <v>129.35</v>
      </c>
      <c r="G43" s="234">
        <v>362.1</v>
      </c>
      <c r="H43" s="232">
        <f t="shared" ref="H43:H48" si="7">B43/G43</f>
        <v>67416972.424744546</v>
      </c>
      <c r="I43" s="232">
        <f t="shared" ref="I43:I48" si="8">B43/F43</f>
        <v>188725826.94240433</v>
      </c>
      <c r="J43" s="235">
        <v>46137</v>
      </c>
    </row>
    <row r="44" spans="1:11" x14ac:dyDescent="0.2">
      <c r="A44" s="234" t="s">
        <v>186</v>
      </c>
      <c r="B44" s="237">
        <v>27846454819</v>
      </c>
      <c r="C44" s="237">
        <v>2180676567</v>
      </c>
      <c r="D44" s="237">
        <v>134021701</v>
      </c>
      <c r="E44" s="237">
        <f t="shared" si="6"/>
        <v>30161153087</v>
      </c>
      <c r="F44" s="234">
        <v>150.86000000000001</v>
      </c>
      <c r="G44" s="234">
        <v>298.3</v>
      </c>
      <c r="H44" s="232">
        <f t="shared" si="7"/>
        <v>93350502.242708683</v>
      </c>
      <c r="I44" s="232">
        <f t="shared" si="8"/>
        <v>184584746.24817711</v>
      </c>
      <c r="J44" s="235">
        <v>46137</v>
      </c>
    </row>
    <row r="45" spans="1:11" x14ac:dyDescent="0.2">
      <c r="A45" s="234" t="s">
        <v>187</v>
      </c>
      <c r="B45" s="237">
        <v>27906808630</v>
      </c>
      <c r="C45" s="237">
        <v>2310260143</v>
      </c>
      <c r="D45" s="237">
        <v>132695512</v>
      </c>
      <c r="E45" s="237">
        <f t="shared" si="6"/>
        <v>30349764285</v>
      </c>
      <c r="F45" s="234">
        <v>120</v>
      </c>
      <c r="G45" s="234">
        <v>362.3</v>
      </c>
      <c r="H45" s="232">
        <f t="shared" si="7"/>
        <v>77026797.212255031</v>
      </c>
      <c r="I45" s="232">
        <f t="shared" si="8"/>
        <v>232556738.58333334</v>
      </c>
      <c r="J45" s="235">
        <v>46137</v>
      </c>
    </row>
    <row r="46" spans="1:11" x14ac:dyDescent="0.2">
      <c r="A46" s="234" t="s">
        <v>190</v>
      </c>
      <c r="B46" s="237">
        <v>52291808592</v>
      </c>
      <c r="C46" s="237">
        <v>4585417094</v>
      </c>
      <c r="D46" s="237">
        <v>251061494</v>
      </c>
      <c r="E46" s="237">
        <f t="shared" si="6"/>
        <v>57128287180</v>
      </c>
      <c r="F46" s="234">
        <v>160.80000000000001</v>
      </c>
      <c r="G46" s="234">
        <v>365.2</v>
      </c>
      <c r="H46" s="232">
        <f t="shared" si="7"/>
        <v>143186770.51478642</v>
      </c>
      <c r="I46" s="232">
        <f t="shared" si="8"/>
        <v>325197814.62686563</v>
      </c>
      <c r="J46" s="238">
        <v>46137</v>
      </c>
    </row>
    <row r="47" spans="1:11" x14ac:dyDescent="0.2">
      <c r="A47" s="234" t="s">
        <v>191</v>
      </c>
      <c r="B47" s="237">
        <v>32488865662</v>
      </c>
      <c r="C47" s="237">
        <v>2704409750</v>
      </c>
      <c r="D47" s="237">
        <v>154710488</v>
      </c>
      <c r="E47" s="237">
        <f t="shared" si="6"/>
        <v>35347985900</v>
      </c>
      <c r="F47" s="234">
        <v>136</v>
      </c>
      <c r="G47" s="234">
        <v>394.3</v>
      </c>
      <c r="H47" s="232">
        <f t="shared" si="7"/>
        <v>82396311.595232055</v>
      </c>
      <c r="I47" s="232">
        <f t="shared" si="8"/>
        <v>238888718.10294119</v>
      </c>
      <c r="J47" s="238">
        <v>46137</v>
      </c>
    </row>
    <row r="48" spans="1:11" x14ac:dyDescent="0.2">
      <c r="A48" s="234" t="s">
        <v>192</v>
      </c>
      <c r="B48" s="237">
        <v>33130361496</v>
      </c>
      <c r="C48" s="237">
        <v>2768559334</v>
      </c>
      <c r="D48" s="237">
        <v>157792622</v>
      </c>
      <c r="E48" s="237">
        <f t="shared" si="6"/>
        <v>36056713452</v>
      </c>
      <c r="F48" s="234">
        <v>136</v>
      </c>
      <c r="G48" s="234">
        <v>422.8</v>
      </c>
      <c r="H48" s="232">
        <f t="shared" si="7"/>
        <v>78359416.972563863</v>
      </c>
      <c r="I48" s="232">
        <f t="shared" si="8"/>
        <v>243605599.2352941</v>
      </c>
      <c r="J48" s="238">
        <v>46075</v>
      </c>
    </row>
    <row r="49" spans="1:11" x14ac:dyDescent="0.2">
      <c r="A49" s="234" t="s">
        <v>193</v>
      </c>
      <c r="B49" s="237">
        <v>32488865662</v>
      </c>
      <c r="C49" s="237">
        <v>2704409750</v>
      </c>
      <c r="D49" s="237">
        <v>154710488</v>
      </c>
      <c r="E49" s="237">
        <f t="shared" ref="E49" si="9">SUM(B49:D49)</f>
        <v>35347985900</v>
      </c>
      <c r="F49" s="234">
        <v>136</v>
      </c>
      <c r="G49" s="234">
        <v>394.3</v>
      </c>
      <c r="H49" s="232">
        <f t="shared" ref="H49:H80" si="10">B49/G49</f>
        <v>82396311.595232055</v>
      </c>
      <c r="I49" s="232">
        <f t="shared" ref="I49:I80" si="11">B49/F49</f>
        <v>238888718.10294119</v>
      </c>
      <c r="J49" s="238">
        <v>46137</v>
      </c>
    </row>
    <row r="50" spans="1:11" x14ac:dyDescent="0.2">
      <c r="A50" s="234" t="s">
        <v>194</v>
      </c>
      <c r="B50" s="237">
        <v>43628713321</v>
      </c>
      <c r="C50" s="237">
        <v>3818394516</v>
      </c>
      <c r="D50" s="237">
        <v>209274226</v>
      </c>
      <c r="E50" s="237">
        <f t="shared" ref="E50:E80" si="12">SUM(B50:D50)</f>
        <v>47656382063</v>
      </c>
      <c r="F50" s="234">
        <v>136</v>
      </c>
      <c r="G50" s="234">
        <v>422.7</v>
      </c>
      <c r="H50" s="232">
        <f t="shared" si="10"/>
        <v>103214367.92287675</v>
      </c>
      <c r="I50" s="232">
        <f t="shared" si="11"/>
        <v>320799362.65441179</v>
      </c>
      <c r="J50" s="238">
        <v>46075</v>
      </c>
    </row>
    <row r="51" spans="1:11" x14ac:dyDescent="0.2">
      <c r="A51" s="234" t="s">
        <v>195</v>
      </c>
      <c r="B51" s="237">
        <v>33485521022</v>
      </c>
      <c r="C51" s="237">
        <v>2804075286</v>
      </c>
      <c r="D51" s="237">
        <v>159499024</v>
      </c>
      <c r="E51" s="237">
        <f t="shared" si="12"/>
        <v>36449095332</v>
      </c>
      <c r="F51" s="234">
        <v>136</v>
      </c>
      <c r="G51" s="234">
        <v>422.8</v>
      </c>
      <c r="H51" s="232">
        <f t="shared" si="10"/>
        <v>79199434.77294229</v>
      </c>
      <c r="I51" s="232">
        <f t="shared" si="11"/>
        <v>246217066.33823529</v>
      </c>
      <c r="J51" s="235">
        <v>46075</v>
      </c>
    </row>
    <row r="52" spans="1:11" x14ac:dyDescent="0.2">
      <c r="A52" s="234" t="s">
        <v>196</v>
      </c>
      <c r="B52" s="237">
        <v>32182142900</v>
      </c>
      <c r="C52" s="237">
        <v>2705765522</v>
      </c>
      <c r="D52" s="237">
        <v>153236806</v>
      </c>
      <c r="E52" s="237">
        <f t="shared" si="12"/>
        <v>35041145228</v>
      </c>
      <c r="F52" s="234">
        <v>128</v>
      </c>
      <c r="G52" s="234">
        <v>374.6</v>
      </c>
      <c r="H52" s="232">
        <f t="shared" si="10"/>
        <v>85910685.798184723</v>
      </c>
      <c r="I52" s="232">
        <f t="shared" si="11"/>
        <v>251422991.40625</v>
      </c>
      <c r="J52" s="235">
        <v>46075</v>
      </c>
      <c r="K52" s="239">
        <v>145000000</v>
      </c>
    </row>
    <row r="53" spans="1:11" x14ac:dyDescent="0.2">
      <c r="A53" s="234" t="s">
        <v>197</v>
      </c>
      <c r="B53" s="237">
        <v>33456746877</v>
      </c>
      <c r="C53" s="237">
        <v>2801197872</v>
      </c>
      <c r="D53" s="237">
        <v>159360775</v>
      </c>
      <c r="E53" s="237">
        <f t="shared" si="12"/>
        <v>36417305524</v>
      </c>
      <c r="F53" s="234">
        <v>136</v>
      </c>
      <c r="G53" s="234">
        <v>398</v>
      </c>
      <c r="H53" s="232">
        <f t="shared" si="10"/>
        <v>84062178.082914576</v>
      </c>
      <c r="I53" s="232">
        <f t="shared" si="11"/>
        <v>246005491.74264705</v>
      </c>
      <c r="J53" s="238">
        <v>46137</v>
      </c>
      <c r="K53" s="239">
        <v>145000000</v>
      </c>
    </row>
    <row r="54" spans="1:11" x14ac:dyDescent="0.2">
      <c r="A54" s="234" t="s">
        <v>198</v>
      </c>
      <c r="B54" s="237">
        <v>36622469084</v>
      </c>
      <c r="C54" s="237">
        <v>3117770092</v>
      </c>
      <c r="D54" s="237">
        <v>174570821</v>
      </c>
      <c r="E54" s="237">
        <f t="shared" si="12"/>
        <v>39914809997</v>
      </c>
      <c r="F54" s="234">
        <v>136</v>
      </c>
      <c r="G54" s="234">
        <v>422.8</v>
      </c>
      <c r="H54" s="232">
        <f t="shared" si="10"/>
        <v>86618895.657521278</v>
      </c>
      <c r="I54" s="232">
        <f t="shared" si="11"/>
        <v>269282860.91176468</v>
      </c>
      <c r="J54" s="238">
        <v>46075</v>
      </c>
      <c r="K54" s="239">
        <v>145000000</v>
      </c>
    </row>
    <row r="55" spans="1:11" x14ac:dyDescent="0.2">
      <c r="A55" s="234" t="s">
        <v>199</v>
      </c>
      <c r="B55" s="237">
        <v>36620494382</v>
      </c>
      <c r="C55" s="237">
        <v>3117572622</v>
      </c>
      <c r="D55" s="237">
        <v>174561334</v>
      </c>
      <c r="E55" s="237">
        <f t="shared" si="12"/>
        <v>39912628338</v>
      </c>
      <c r="F55" s="234">
        <v>136</v>
      </c>
      <c r="G55" s="234">
        <v>422.6</v>
      </c>
      <c r="H55" s="232">
        <f t="shared" si="10"/>
        <v>86655216.237576902</v>
      </c>
      <c r="I55" s="232">
        <f t="shared" si="11"/>
        <v>269268341.04411763</v>
      </c>
      <c r="J55" s="238">
        <v>46075</v>
      </c>
      <c r="K55" s="239">
        <v>195000000</v>
      </c>
    </row>
    <row r="56" spans="1:11" x14ac:dyDescent="0.2">
      <c r="A56" s="234" t="s">
        <v>207</v>
      </c>
      <c r="B56" s="237">
        <v>38925705154</v>
      </c>
      <c r="C56" s="237">
        <f>E56-D56-B56</f>
        <v>3348093699</v>
      </c>
      <c r="D56" s="237">
        <v>185636962</v>
      </c>
      <c r="E56" s="237">
        <v>42459435815</v>
      </c>
      <c r="F56" s="234">
        <v>136</v>
      </c>
      <c r="G56" s="234">
        <v>422.8</v>
      </c>
      <c r="H56" s="232">
        <f t="shared" ref="H56" si="13">B56/G56</f>
        <v>92066473.874172181</v>
      </c>
      <c r="I56" s="232">
        <f t="shared" ref="I56" si="14">B56/F56</f>
        <v>286218420.25</v>
      </c>
      <c r="J56" s="238">
        <v>46075</v>
      </c>
      <c r="K56" s="239">
        <f>145000000</f>
        <v>145000000</v>
      </c>
    </row>
    <row r="57" spans="1:11" ht="20" customHeight="1" x14ac:dyDescent="0.2">
      <c r="A57" s="234" t="s">
        <v>201</v>
      </c>
      <c r="B57" s="237">
        <v>28071157544</v>
      </c>
      <c r="C57" s="237">
        <v>2207830941</v>
      </c>
      <c r="D57" s="237">
        <v>134442092</v>
      </c>
      <c r="E57" s="237">
        <f t="shared" si="12"/>
        <v>30413430577</v>
      </c>
      <c r="F57" s="234">
        <v>149.69</v>
      </c>
      <c r="G57" s="234">
        <v>362.2</v>
      </c>
      <c r="H57" s="232">
        <f t="shared" si="10"/>
        <v>77501815.416896746</v>
      </c>
      <c r="I57" s="232">
        <f t="shared" si="11"/>
        <v>187528609.41946691</v>
      </c>
      <c r="J57" s="238">
        <v>46137</v>
      </c>
      <c r="K57" s="239">
        <v>700000000</v>
      </c>
    </row>
    <row r="58" spans="1:11" x14ac:dyDescent="0.2">
      <c r="A58" s="234" t="s">
        <v>205</v>
      </c>
      <c r="B58" s="237">
        <v>23814604262</v>
      </c>
      <c r="C58" s="237">
        <v>1874216216</v>
      </c>
      <c r="D58" s="237">
        <v>114417115</v>
      </c>
      <c r="E58" s="237">
        <f t="shared" si="12"/>
        <v>25803237593</v>
      </c>
      <c r="F58" s="234">
        <v>126.7</v>
      </c>
      <c r="G58" s="234">
        <v>362.4</v>
      </c>
      <c r="H58" s="232">
        <f t="shared" si="10"/>
        <v>65713587.919426054</v>
      </c>
      <c r="I58" s="232">
        <f t="shared" si="11"/>
        <v>187960570.33938438</v>
      </c>
      <c r="J58" s="238">
        <v>46137</v>
      </c>
      <c r="K58" s="239">
        <f>700000000+145000000+50000000</f>
        <v>895000000</v>
      </c>
    </row>
    <row r="59" spans="1:11" x14ac:dyDescent="0.2">
      <c r="A59" s="234" t="s">
        <v>202</v>
      </c>
      <c r="B59" s="237">
        <v>31746965486</v>
      </c>
      <c r="C59" s="237">
        <v>2662247781</v>
      </c>
      <c r="D59" s="237">
        <v>151901680</v>
      </c>
      <c r="E59" s="237">
        <f t="shared" si="12"/>
        <v>34561114947</v>
      </c>
      <c r="F59" s="234">
        <v>128</v>
      </c>
      <c r="G59" s="234">
        <v>342.6</v>
      </c>
      <c r="H59" s="232">
        <f t="shared" si="10"/>
        <v>92664814.611792177</v>
      </c>
      <c r="I59" s="232">
        <f t="shared" si="11"/>
        <v>248023167.859375</v>
      </c>
      <c r="J59" s="235">
        <v>46075</v>
      </c>
    </row>
    <row r="60" spans="1:11" x14ac:dyDescent="0.2">
      <c r="A60" s="234" t="s">
        <v>203</v>
      </c>
      <c r="B60" s="237">
        <v>31531198747</v>
      </c>
      <c r="C60" s="237">
        <v>2640671107</v>
      </c>
      <c r="D60" s="237">
        <v>150109276</v>
      </c>
      <c r="E60" s="237">
        <f t="shared" si="12"/>
        <v>34321979130</v>
      </c>
      <c r="F60" s="234">
        <v>128</v>
      </c>
      <c r="G60" s="234">
        <v>374.8</v>
      </c>
      <c r="H60" s="232">
        <f t="shared" si="10"/>
        <v>84128064.959978655</v>
      </c>
      <c r="I60" s="232">
        <f t="shared" si="11"/>
        <v>246337490.2109375</v>
      </c>
      <c r="J60" s="235">
        <v>46075</v>
      </c>
    </row>
    <row r="61" spans="1:11" x14ac:dyDescent="0.2">
      <c r="A61" s="234" t="s">
        <v>173</v>
      </c>
      <c r="B61" s="237">
        <v>31558765046</v>
      </c>
      <c r="C61" s="237">
        <v>2643427737</v>
      </c>
      <c r="D61" s="237">
        <v>150241722</v>
      </c>
      <c r="E61" s="237">
        <f t="shared" si="12"/>
        <v>34352434505</v>
      </c>
      <c r="F61" s="234">
        <v>128</v>
      </c>
      <c r="G61" s="234">
        <v>342.6</v>
      </c>
      <c r="H61" s="232">
        <f t="shared" si="10"/>
        <v>92115484.66433157</v>
      </c>
      <c r="I61" s="232">
        <f t="shared" si="11"/>
        <v>246552851.921875</v>
      </c>
      <c r="J61" s="235">
        <v>46075</v>
      </c>
    </row>
    <row r="62" spans="1:11" x14ac:dyDescent="0.2">
      <c r="A62" s="234" t="s">
        <v>204</v>
      </c>
      <c r="B62" s="237">
        <v>31529224044</v>
      </c>
      <c r="C62" s="237">
        <v>2640473636</v>
      </c>
      <c r="D62" s="237">
        <v>150099789</v>
      </c>
      <c r="E62" s="237">
        <f t="shared" si="12"/>
        <v>34319797469</v>
      </c>
      <c r="F62" s="234">
        <v>128</v>
      </c>
      <c r="G62" s="234">
        <v>374.6</v>
      </c>
      <c r="H62" s="232">
        <f t="shared" si="10"/>
        <v>84167709.674319267</v>
      </c>
      <c r="I62" s="232">
        <f t="shared" si="11"/>
        <v>246322062.84375</v>
      </c>
      <c r="J62" s="235">
        <v>46075</v>
      </c>
    </row>
    <row r="63" spans="1:11" x14ac:dyDescent="0.2">
      <c r="A63" s="234" t="s">
        <v>206</v>
      </c>
      <c r="B63" s="237">
        <v>29555834911</v>
      </c>
      <c r="C63" s="237">
        <v>2558836047</v>
      </c>
      <c r="D63" s="237">
        <v>141361062</v>
      </c>
      <c r="E63" s="237">
        <f t="shared" si="12"/>
        <v>32256032020</v>
      </c>
      <c r="F63" s="234">
        <v>99.1</v>
      </c>
      <c r="G63" s="234">
        <v>224.1</v>
      </c>
      <c r="H63" s="232">
        <f t="shared" si="10"/>
        <v>131886813.52521196</v>
      </c>
      <c r="I63" s="232">
        <f t="shared" si="11"/>
        <v>298242531.89707369</v>
      </c>
      <c r="J63" s="235">
        <v>46075</v>
      </c>
      <c r="K63" s="239">
        <f>700000000+145000000</f>
        <v>845000000</v>
      </c>
    </row>
    <row r="64" spans="1:11" x14ac:dyDescent="0.2">
      <c r="A64" s="234" t="s">
        <v>209</v>
      </c>
      <c r="B64" s="237">
        <v>22845687876</v>
      </c>
      <c r="C64" s="237">
        <v>1804148068</v>
      </c>
      <c r="D64" s="237">
        <v>109705828</v>
      </c>
      <c r="E64" s="237">
        <f t="shared" si="12"/>
        <v>24759541772</v>
      </c>
      <c r="F64" s="234">
        <v>120</v>
      </c>
      <c r="G64" s="234">
        <v>342.8</v>
      </c>
      <c r="H64" s="232">
        <f t="shared" si="10"/>
        <v>66644363.698949821</v>
      </c>
      <c r="I64" s="232">
        <f t="shared" si="11"/>
        <v>190380732.30000001</v>
      </c>
      <c r="J64" s="235">
        <v>46075</v>
      </c>
      <c r="K64" s="239">
        <f>700000000+145000000+50000000</f>
        <v>895000000</v>
      </c>
    </row>
    <row r="65" spans="1:10" x14ac:dyDescent="0.2">
      <c r="A65" s="234"/>
      <c r="B65" s="237"/>
      <c r="C65" s="237"/>
      <c r="D65" s="237"/>
      <c r="E65" s="237">
        <f t="shared" si="12"/>
        <v>0</v>
      </c>
      <c r="F65" s="234"/>
      <c r="G65" s="234"/>
      <c r="H65" s="232" t="e">
        <f t="shared" si="10"/>
        <v>#DIV/0!</v>
      </c>
      <c r="I65" s="232" t="e">
        <f t="shared" si="11"/>
        <v>#DIV/0!</v>
      </c>
      <c r="J65" s="235"/>
    </row>
    <row r="66" spans="1:10" x14ac:dyDescent="0.2">
      <c r="A66" s="234"/>
      <c r="B66" s="237"/>
      <c r="C66" s="237"/>
      <c r="D66" s="237"/>
      <c r="E66" s="237">
        <f t="shared" si="12"/>
        <v>0</v>
      </c>
      <c r="F66" s="234"/>
      <c r="G66" s="234"/>
      <c r="H66" s="232" t="e">
        <f t="shared" si="10"/>
        <v>#DIV/0!</v>
      </c>
      <c r="I66" s="232" t="e">
        <f t="shared" si="11"/>
        <v>#DIV/0!</v>
      </c>
      <c r="J66" s="235"/>
    </row>
    <row r="67" spans="1:10" x14ac:dyDescent="0.2">
      <c r="A67" s="234"/>
      <c r="B67" s="237"/>
      <c r="C67" s="237"/>
      <c r="D67" s="237"/>
      <c r="E67" s="237">
        <f t="shared" si="12"/>
        <v>0</v>
      </c>
      <c r="F67" s="234"/>
      <c r="G67" s="234"/>
      <c r="H67" s="232" t="e">
        <f t="shared" si="10"/>
        <v>#DIV/0!</v>
      </c>
      <c r="I67" s="232" t="e">
        <f t="shared" si="11"/>
        <v>#DIV/0!</v>
      </c>
      <c r="J67" s="235"/>
    </row>
    <row r="68" spans="1:10" x14ac:dyDescent="0.2">
      <c r="A68" s="234"/>
      <c r="B68" s="237"/>
      <c r="C68" s="237"/>
      <c r="D68" s="237"/>
      <c r="E68" s="237">
        <f t="shared" si="12"/>
        <v>0</v>
      </c>
      <c r="F68" s="234"/>
      <c r="G68" s="234"/>
      <c r="H68" s="232" t="e">
        <f t="shared" si="10"/>
        <v>#DIV/0!</v>
      </c>
      <c r="I68" s="232" t="e">
        <f t="shared" si="11"/>
        <v>#DIV/0!</v>
      </c>
      <c r="J68" s="235"/>
    </row>
    <row r="69" spans="1:10" x14ac:dyDescent="0.2">
      <c r="A69" s="234"/>
      <c r="B69" s="237"/>
      <c r="C69" s="237"/>
      <c r="D69" s="237"/>
      <c r="E69" s="237">
        <f t="shared" si="12"/>
        <v>0</v>
      </c>
      <c r="F69" s="234"/>
      <c r="G69" s="234"/>
      <c r="H69" s="232" t="e">
        <f t="shared" si="10"/>
        <v>#DIV/0!</v>
      </c>
      <c r="I69" s="232" t="e">
        <f t="shared" si="11"/>
        <v>#DIV/0!</v>
      </c>
      <c r="J69" s="235"/>
    </row>
    <row r="70" spans="1:10" x14ac:dyDescent="0.2">
      <c r="A70" s="234"/>
      <c r="B70" s="237"/>
      <c r="C70" s="237"/>
      <c r="D70" s="237"/>
      <c r="E70" s="237">
        <f t="shared" si="12"/>
        <v>0</v>
      </c>
      <c r="F70" s="234"/>
      <c r="G70" s="234"/>
      <c r="H70" s="232" t="e">
        <f t="shared" si="10"/>
        <v>#DIV/0!</v>
      </c>
      <c r="I70" s="232" t="e">
        <f t="shared" si="11"/>
        <v>#DIV/0!</v>
      </c>
      <c r="J70" s="235"/>
    </row>
    <row r="71" spans="1:10" x14ac:dyDescent="0.2">
      <c r="A71" s="234"/>
      <c r="B71" s="237"/>
      <c r="C71" s="237"/>
      <c r="D71" s="237"/>
      <c r="E71" s="237">
        <f t="shared" si="12"/>
        <v>0</v>
      </c>
      <c r="F71" s="234"/>
      <c r="G71" s="234"/>
      <c r="H71" s="232" t="e">
        <f t="shared" si="10"/>
        <v>#DIV/0!</v>
      </c>
      <c r="I71" s="232" t="e">
        <f t="shared" si="11"/>
        <v>#DIV/0!</v>
      </c>
      <c r="J71" s="235"/>
    </row>
    <row r="72" spans="1:10" x14ac:dyDescent="0.2">
      <c r="A72" s="234"/>
      <c r="B72" s="237"/>
      <c r="C72" s="237"/>
      <c r="D72" s="237"/>
      <c r="E72" s="237">
        <f t="shared" si="12"/>
        <v>0</v>
      </c>
      <c r="F72" s="234"/>
      <c r="G72" s="234"/>
      <c r="H72" s="232" t="e">
        <f t="shared" si="10"/>
        <v>#DIV/0!</v>
      </c>
      <c r="I72" s="232" t="e">
        <f t="shared" si="11"/>
        <v>#DIV/0!</v>
      </c>
      <c r="J72" s="235"/>
    </row>
    <row r="73" spans="1:10" x14ac:dyDescent="0.2">
      <c r="A73" s="234"/>
      <c r="B73" s="237"/>
      <c r="C73" s="237"/>
      <c r="D73" s="237"/>
      <c r="E73" s="237">
        <f t="shared" si="12"/>
        <v>0</v>
      </c>
      <c r="F73" s="234"/>
      <c r="G73" s="234"/>
      <c r="H73" s="232" t="e">
        <f t="shared" si="10"/>
        <v>#DIV/0!</v>
      </c>
      <c r="I73" s="232" t="e">
        <f t="shared" si="11"/>
        <v>#DIV/0!</v>
      </c>
      <c r="J73" s="235"/>
    </row>
    <row r="74" spans="1:10" x14ac:dyDescent="0.2">
      <c r="A74" s="234"/>
      <c r="B74" s="237"/>
      <c r="C74" s="237"/>
      <c r="D74" s="237"/>
      <c r="E74" s="237">
        <f t="shared" si="12"/>
        <v>0</v>
      </c>
      <c r="F74" s="234"/>
      <c r="G74" s="234"/>
      <c r="H74" s="232" t="e">
        <f t="shared" si="10"/>
        <v>#DIV/0!</v>
      </c>
      <c r="I74" s="232" t="e">
        <f t="shared" si="11"/>
        <v>#DIV/0!</v>
      </c>
      <c r="J74" s="235"/>
    </row>
    <row r="75" spans="1:10" x14ac:dyDescent="0.2">
      <c r="A75" s="234"/>
      <c r="B75" s="237"/>
      <c r="C75" s="237"/>
      <c r="D75" s="237"/>
      <c r="E75" s="237">
        <f t="shared" si="12"/>
        <v>0</v>
      </c>
      <c r="F75" s="234"/>
      <c r="G75" s="234"/>
      <c r="H75" s="232" t="e">
        <f t="shared" si="10"/>
        <v>#DIV/0!</v>
      </c>
      <c r="I75" s="232" t="e">
        <f t="shared" si="11"/>
        <v>#DIV/0!</v>
      </c>
      <c r="J75" s="235"/>
    </row>
    <row r="76" spans="1:10" x14ac:dyDescent="0.2">
      <c r="A76" s="234"/>
      <c r="B76" s="237"/>
      <c r="C76" s="237"/>
      <c r="D76" s="237"/>
      <c r="E76" s="237">
        <f t="shared" si="12"/>
        <v>0</v>
      </c>
      <c r="F76" s="234"/>
      <c r="G76" s="234"/>
      <c r="H76" s="232" t="e">
        <f t="shared" si="10"/>
        <v>#DIV/0!</v>
      </c>
      <c r="I76" s="232" t="e">
        <f t="shared" si="11"/>
        <v>#DIV/0!</v>
      </c>
      <c r="J76" s="235"/>
    </row>
    <row r="77" spans="1:10" x14ac:dyDescent="0.2">
      <c r="A77" s="234"/>
      <c r="B77" s="237"/>
      <c r="C77" s="237"/>
      <c r="D77" s="237"/>
      <c r="E77" s="237">
        <f t="shared" si="12"/>
        <v>0</v>
      </c>
      <c r="F77" s="234"/>
      <c r="G77" s="234"/>
      <c r="H77" s="232" t="e">
        <f t="shared" si="10"/>
        <v>#DIV/0!</v>
      </c>
      <c r="I77" s="232" t="e">
        <f t="shared" si="11"/>
        <v>#DIV/0!</v>
      </c>
      <c r="J77" s="235"/>
    </row>
    <row r="78" spans="1:10" x14ac:dyDescent="0.2">
      <c r="A78" s="234"/>
      <c r="B78" s="237"/>
      <c r="C78" s="237"/>
      <c r="D78" s="237"/>
      <c r="E78" s="237">
        <f t="shared" si="12"/>
        <v>0</v>
      </c>
      <c r="F78" s="234"/>
      <c r="G78" s="234"/>
      <c r="H78" s="232" t="e">
        <f t="shared" si="10"/>
        <v>#DIV/0!</v>
      </c>
      <c r="I78" s="232" t="e">
        <f t="shared" si="11"/>
        <v>#DIV/0!</v>
      </c>
      <c r="J78" s="235"/>
    </row>
    <row r="79" spans="1:10" x14ac:dyDescent="0.2">
      <c r="A79" s="234"/>
      <c r="B79" s="237"/>
      <c r="C79" s="237"/>
      <c r="D79" s="237"/>
      <c r="E79" s="237">
        <f t="shared" si="12"/>
        <v>0</v>
      </c>
      <c r="F79" s="234"/>
      <c r="G79" s="234"/>
      <c r="H79" s="232" t="e">
        <f t="shared" si="10"/>
        <v>#DIV/0!</v>
      </c>
      <c r="I79" s="232" t="e">
        <f t="shared" si="11"/>
        <v>#DIV/0!</v>
      </c>
      <c r="J79" s="235"/>
    </row>
    <row r="80" spans="1:10" x14ac:dyDescent="0.2">
      <c r="A80" s="234"/>
      <c r="B80" s="237"/>
      <c r="C80" s="237"/>
      <c r="D80" s="237"/>
      <c r="E80" s="237">
        <f t="shared" si="12"/>
        <v>0</v>
      </c>
      <c r="F80" s="234"/>
      <c r="G80" s="234"/>
      <c r="H80" s="232" t="e">
        <f t="shared" si="10"/>
        <v>#DIV/0!</v>
      </c>
      <c r="I80" s="232" t="e">
        <f t="shared" si="11"/>
        <v>#DIV/0!</v>
      </c>
      <c r="J80" s="235"/>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K12" sqref="K12"/>
    </sheetView>
  </sheetViews>
  <sheetFormatPr baseColWidth="10" defaultColWidth="8.83203125" defaultRowHeight="1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TTTĐ</vt:lpstr>
      <vt:lpstr>VAY</vt:lpstr>
      <vt:lpstr>VAY 24T</vt:lpstr>
      <vt:lpstr>TTS</vt:lpstr>
      <vt:lpstr>Quỹ giãn xây</vt:lpstr>
      <vt:lpstr>Sheet1</vt:lpstr>
      <vt:lpstr>Check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vincitysp support (VH-KS&amp;M-MB)</dc:creator>
  <cp:lastModifiedBy>Trang Trang</cp:lastModifiedBy>
  <cp:lastPrinted>2025-03-12T04:15:32Z</cp:lastPrinted>
  <dcterms:created xsi:type="dcterms:W3CDTF">2025-03-04T03:15:04Z</dcterms:created>
  <dcterms:modified xsi:type="dcterms:W3CDTF">2026-03-03T04:50:43Z</dcterms:modified>
</cp:coreProperties>
</file>